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480" windowHeight="8670" tabRatio="688" activeTab="0"/>
  </bookViews>
  <sheets>
    <sheet name="Zal_1_WPF_uklad_budzetu" sheetId="1" r:id="rId1"/>
    <sheet name="Zal_1_WPF_wg_przeplywow" sheetId="2" r:id="rId2"/>
    <sheet name="definicja" sheetId="3" state="hidden" r:id="rId3"/>
    <sheet name="DaneZrodlowe" sheetId="4" r:id="rId4"/>
  </sheets>
  <definedNames>
    <definedName name="_xlnm.Print_Area" localSheetId="0">'Zal_1_WPF_uklad_budzetu'!$A$6:$K$60</definedName>
    <definedName name="_xlnm.Print_Area" localSheetId="1">'Zal_1_WPF_wg_przeplywow'!$C$7:$AO$69</definedName>
    <definedName name="_xlnm.Print_Titles" localSheetId="0">'Zal_1_WPF_uklad_budzetu'!$A:$B,'Zal_1_WPF_uklad_budzetu'!$4:$5</definedName>
    <definedName name="_xlnm.Print_Titles" localSheetId="1">'Zal_1_WPF_wg_przeplywow'!$A:$B,'Zal_1_WPF_wg_przeplywow'!$5:$6</definedName>
  </definedNames>
  <calcPr fullCalcOnLoad="1"/>
</workbook>
</file>

<file path=xl/sharedStrings.xml><?xml version="1.0" encoding="utf-8"?>
<sst xmlns="http://schemas.openxmlformats.org/spreadsheetml/2006/main" count="1267" uniqueCount="222">
  <si>
    <t>Lp.</t>
  </si>
  <si>
    <t>Wyszczególnienie</t>
  </si>
  <si>
    <t>2.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</si>
  <si>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</si>
  <si>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</si>
  <si>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</si>
  <si>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wydatki bieżące objęte limitem art. 226 ust. 4 ufp</t>
  </si>
  <si>
    <t>3.</t>
  </si>
  <si>
    <t>4.</t>
  </si>
  <si>
    <t>5.</t>
  </si>
  <si>
    <t>6.</t>
  </si>
  <si>
    <t>7.</t>
  </si>
  <si>
    <t>Spłata i obsługa długu, z tego: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</si>
  <si>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</si>
  <si>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</si>
  <si>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</si>
  <si>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</si>
  <si>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</si>
  <si>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</si>
  <si>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11.</t>
  </si>
  <si>
    <t>12.</t>
  </si>
  <si>
    <t>13.</t>
  </si>
  <si>
    <t>14.</t>
  </si>
  <si>
    <t>15.</t>
  </si>
  <si>
    <t>16.</t>
  </si>
  <si>
    <t>17.</t>
  </si>
  <si>
    <t>2040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</si>
  <si>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</si>
  <si>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</si>
  <si>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</si>
  <si>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</si>
  <si>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</si>
  <si>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</si>
  <si>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</si>
  <si>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</si>
  <si>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</si>
  <si>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</si>
  <si>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</si>
  <si>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</si>
  <si>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</si>
  <si>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</si>
  <si>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</si>
  <si>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Numer Uchwały:</t>
  </si>
  <si>
    <t>DataPodjecia</t>
  </si>
  <si>
    <t>DataWejscia</t>
  </si>
  <si>
    <t>1.</t>
  </si>
  <si>
    <t>Wydatki ogółem</t>
  </si>
  <si>
    <t>Wydatki majątkowe</t>
  </si>
  <si>
    <t>Wynik budżetu</t>
  </si>
  <si>
    <t>Dochody bieżące - wydatki bieżące</t>
  </si>
  <si>
    <t>Przychody budżetu</t>
  </si>
  <si>
    <t>Inne przychody niezwiązane z zaciągnięciem długu</t>
  </si>
  <si>
    <t xml:space="preserve">Rozchody budżetu </t>
  </si>
  <si>
    <t>Maksymalny dopuszczalny wskaźnik spłaty z art. 243 ufp</t>
  </si>
  <si>
    <t>Relacja planowanej łącznej kwoty spłaty zobowiązań do dochodów  (bez wyłączeń)</t>
  </si>
  <si>
    <t>Art. 243 ustawy z dnia 27 sierpnia 2009 r. - w ujęciu rocznym</t>
  </si>
  <si>
    <t xml:space="preserve">Wyciąg danych z tabeli "Wieloletnia prognoza finansowa" wprowadzonych do systemu BESTI@ z wybranej uchwały </t>
  </si>
  <si>
    <t>Dochody ogółem</t>
  </si>
  <si>
    <t>Dochody bieżące</t>
  </si>
  <si>
    <t>Wydatki bieżące</t>
  </si>
  <si>
    <t>Nadwyżka budżetowa z lat ubiegłych plus wolne środki, o których mowa w art. 217 ust.1 pkt 6 ufp, angażowane w budżecie roku bieżącego</t>
  </si>
  <si>
    <t>w tym: na pokrycie deficytu budżetu</t>
  </si>
  <si>
    <t>Kredyty, pożyczki, sprzedaż papierów wartościowych</t>
  </si>
  <si>
    <t xml:space="preserve">w tym: na pokrycie deficytu budżetu </t>
  </si>
  <si>
    <t>Spłaty rat kapitałowych oraz wykup papierów wartościowych</t>
  </si>
  <si>
    <t>w tym: kwota wyłączeń z art. 243 ust. 3 pkt 1ufp oraz art. 169 ust. 3 sufp przypadająca na dany rok</t>
  </si>
  <si>
    <t>Kwota długu</t>
  </si>
  <si>
    <t>w tym: dług spłacany wydatkami (zobowiązania wymagalne, umowy zaliczane do kategorii kredytów i pożyczek, itp.)</t>
  </si>
  <si>
    <t>Łączna kwota wyłączeń z art. 170 ust. 3 sufp</t>
  </si>
  <si>
    <t>Zadłużenie/dochody ogółem - max 60% z art. 170 sufp (bez wyłączeń)</t>
  </si>
  <si>
    <t>9a.</t>
  </si>
  <si>
    <t>Zadłużenie/dochody ogółem - max 60% z art. 170 sufp (po uwzględnieniu wyłączeń)</t>
  </si>
  <si>
    <t>Planowana łączna kwota spłaty zobowiązań/dochody ogółem - max 15% z art. 169 sufp (bez wyłączeń)</t>
  </si>
  <si>
    <t>10a.</t>
  </si>
  <si>
    <t>Planowana łączna kwota spłaty zobowiązań/dochody ogółem - max 15% z art. 169 sufp (po uwzględnieniu wyłączeń)</t>
  </si>
  <si>
    <t>13a.</t>
  </si>
  <si>
    <t>Spełnienie wskaźnika spłaty z art. 243 ufp po uwzględnieniu art. 244 ufp (bez wyłączeń)</t>
  </si>
  <si>
    <t>Relacja planowanej łącznej kwoty spłaty zobowiązań do dochodów (po uwzględnieniu wyłączeń)</t>
  </si>
  <si>
    <t>14a.</t>
  </si>
  <si>
    <t>Spełnienie wskaźnika spłaty z art. 243 ufp po uwzględnieniu art. 244 ufp (po uwzględnieniu wyłączeń)</t>
  </si>
  <si>
    <t>Informacja z art. 226 ust. 2, tj. wydatki:</t>
  </si>
  <si>
    <t>bieżące objęte limitem art. 226 ust. 4 ufp</t>
  </si>
  <si>
    <t>majątkowe objęte limitem art. 226 ust. 4 ufp</t>
  </si>
  <si>
    <t>Rok bazowy:</t>
  </si>
  <si>
    <t>w tym: środki z UE*</t>
  </si>
  <si>
    <t>Dochody majątkowe, w tym:</t>
  </si>
  <si>
    <t>ze sprzedaży majątku</t>
  </si>
  <si>
    <t>środki z UE*</t>
  </si>
  <si>
    <t>* środki, o których mowa w art. 5 ust. 1 pkt 2 ustawy o finansach publicznych z 2009 r.</t>
  </si>
  <si>
    <t>w tym: na projekty realizowane przy udziale środków, o których mowa w art. 5 ust. 1 pkt 2</t>
  </si>
  <si>
    <t xml:space="preserve">wydatki bieżące bez wydatków na obsługę długu, w tym: </t>
  </si>
  <si>
    <t>Wartość przejętych zobowiązań</t>
  </si>
  <si>
    <t xml:space="preserve">w tym: od samorządowych samodzielnych publicznych zakładów opieki zdrowotnej </t>
  </si>
  <si>
    <t>Dochody ogółem, z tego:</t>
  </si>
  <si>
    <t>1a</t>
  </si>
  <si>
    <t xml:space="preserve"> dochody bieżące</t>
  </si>
  <si>
    <t>1a1</t>
  </si>
  <si>
    <t xml:space="preserve">  w tym: środki z UE*</t>
  </si>
  <si>
    <t>1b</t>
  </si>
  <si>
    <t xml:space="preserve"> dochody majątkowe, w tym</t>
  </si>
  <si>
    <t>1c</t>
  </si>
  <si>
    <t xml:space="preserve"> ze sprzedaży majątku</t>
  </si>
  <si>
    <t>1d</t>
  </si>
  <si>
    <t xml:space="preserve"> środki z UE*</t>
  </si>
  <si>
    <t>2a</t>
  </si>
  <si>
    <t xml:space="preserve"> na wynagrodzenia i składki od nich naliczane</t>
  </si>
  <si>
    <t>2b</t>
  </si>
  <si>
    <t xml:space="preserve"> związane z funkcjonowaniem organów JST</t>
  </si>
  <si>
    <t>2c</t>
  </si>
  <si>
    <t xml:space="preserve"> z tytułu gwarancji i poręczeń, w tym:</t>
  </si>
  <si>
    <t>2d</t>
  </si>
  <si>
    <t xml:space="preserve"> gwarancje i poręczenia podlegające wyłączeniu z limitów spłaty zobowiązań z art. 243 ufp/169sufp</t>
  </si>
  <si>
    <t>2e</t>
  </si>
  <si>
    <t xml:space="preserve"> wydatki bieżące objęte limitem art. 226 ust. 4 ufp</t>
  </si>
  <si>
    <t>2f</t>
  </si>
  <si>
    <t xml:space="preserve"> na projekty realizowane przy udziale środków, o których mowa w art. 5 ust. 1 pkt 2</t>
  </si>
  <si>
    <t>Różnica (1-2)</t>
  </si>
  <si>
    <t>4a</t>
  </si>
  <si>
    <t xml:space="preserve"> w tym: na pokrycie deficytu budżetu</t>
  </si>
  <si>
    <t>Inne przychody nie związane z zaciągnięciem długu</t>
  </si>
  <si>
    <t>5a</t>
  </si>
  <si>
    <t>Środki do dyspozycji (3+4+5)</t>
  </si>
  <si>
    <t>7a</t>
  </si>
  <si>
    <t xml:space="preserve"> rozchody z tytułu spłaty rat kapitałowych oraz wykupu papierów wartościowych</t>
  </si>
  <si>
    <t>7a1</t>
  </si>
  <si>
    <t xml:space="preserve">  kwota wyłączeń z art. 243 ust. 3 pkt 1 ufp oraz art. 169 ust. 3 sufp przypadająca na dany rok budżetowy</t>
  </si>
  <si>
    <t>7b</t>
  </si>
  <si>
    <t xml:space="preserve"> wydatki bieżące na obsługę długu</t>
  </si>
  <si>
    <t>7b1</t>
  </si>
  <si>
    <t xml:space="preserve">  w tym: odsetki i dyskonto</t>
  </si>
  <si>
    <t>Inne rozchody (bez spłaty długu np. udzielane pożyczki)</t>
  </si>
  <si>
    <t>Środki do dyspozycji (6-7-8)</t>
  </si>
  <si>
    <t>10a</t>
  </si>
  <si>
    <t xml:space="preserve"> wydatki majątkowe objęte limitem art. 226 ust. 4 ufp</t>
  </si>
  <si>
    <t>10b</t>
  </si>
  <si>
    <t>11a</t>
  </si>
  <si>
    <t>Rozliczenie budżetu (9-10+11)</t>
  </si>
  <si>
    <t>13a</t>
  </si>
  <si>
    <t xml:space="preserve"> w tym: dług spłacany wydatkami (zobowiązania wymagalne, umowy zaliczane do kategorii kredytów i pożyczek, itp.)</t>
  </si>
  <si>
    <t>Kwota zobowiązań związku współtworzonego przez jst przypadających do spłaty w danym roku budżetowym podlegająca doliczeniu zgodnie z art. 244 ufp</t>
  </si>
  <si>
    <t>Kwoty nadwyżki budżetowej planowanej w poszczególnych latach objętych prognozą **</t>
  </si>
  <si>
    <t>17a</t>
  </si>
  <si>
    <t xml:space="preserve"> w tym od spzoz</t>
  </si>
  <si>
    <t>18a</t>
  </si>
  <si>
    <t>19a</t>
  </si>
  <si>
    <t>Relacja (Db-Wb+Dsm)/Do, o której mowa w art. 243 w danym roku</t>
  </si>
  <si>
    <t>20a</t>
  </si>
  <si>
    <t>21a</t>
  </si>
  <si>
    <t>22a</t>
  </si>
  <si>
    <t>Dochody bieżące (1a)</t>
  </si>
  <si>
    <t>Wydatki bieżące razem (2 + 7b)</t>
  </si>
  <si>
    <t>Dochody ogółem (1)</t>
  </si>
  <si>
    <t>Przychody budżetu (4+5+11)</t>
  </si>
  <si>
    <t>Rozchody budżetu (7a + 8)</t>
  </si>
  <si>
    <t>na projekty realizowane przy udziale środków, o których mowa w art. 5 ust. 1 pkt 2</t>
  </si>
  <si>
    <t>gwarancje i poręczenia podlegające wyłączeniu z limitów spłaty zobowiązań z art. 243 ufp/169sufp</t>
  </si>
  <si>
    <t>z tytułu gwarancji i poręczeń, w tym:</t>
  </si>
  <si>
    <t>w tym: kwota wyłączeń z art. 243 ust. 3 pkt 1 ufp oraz art. 169 ust. 3 sufp przypadająca na dany rok budżetowy</t>
  </si>
  <si>
    <t>w tym: odsetki i dyskonto</t>
  </si>
  <si>
    <t>Rozchody z tytułu spłaty rat kapitałowych oraz wykupu papierów wartościowych</t>
  </si>
  <si>
    <t>Wydatki bieżące na obsługę długu</t>
  </si>
  <si>
    <t>wydatki majątkowe objęte limitem art. 226 ust. 4 ufp</t>
  </si>
  <si>
    <t>Przeznaczenie nadwyżki wykonanej w poszczególnych latach objętych prognozą: **</t>
  </si>
  <si>
    <t>** Przeznaczenie planowanej nadwyżki budżetowej jest szczegółowo opisane w objaśnieniach.</t>
  </si>
  <si>
    <t xml:space="preserve">z tytułu poręczeń i gwarancji </t>
  </si>
  <si>
    <t>w tym: gwarancje i poręczenia podlegające wyłączeniu z limitów spłaty zobowiązań z art. 243 ufp/169 sufp</t>
  </si>
  <si>
    <t xml:space="preserve">w tym: odsetki i dyskonto </t>
  </si>
  <si>
    <t xml:space="preserve">Kwota zobowiązań przypadających do spłaty w danym roku budżetowym, podlegająca doliczeniu zgodnie z art. 244 ufp (zobowiązania związku współtworzonego przez JST) </t>
  </si>
  <si>
    <t>X</t>
  </si>
  <si>
    <t xml:space="preserve">Kontrola poprawności bilansowania budżetu (D+P)-(W+R)=0:  </t>
  </si>
  <si>
    <t>Czy kwota angażowanych środków w przychodach jest wyższa od tej na finansowanie deficytu:</t>
  </si>
  <si>
    <t>dla INNYCH PRZYCHODÓW:</t>
  </si>
  <si>
    <t>dla KREDYTÓW,POŻYCZEK:</t>
  </si>
  <si>
    <t>Czy WYSOKOŚĆ DEFICYTU jest w pełni pokryta źródłami finansowania deficytu?</t>
  </si>
  <si>
    <t>Kontrola poprawności zmiany kwoty długu: 
(kwota różna od zera powinna być opisana w objaśnieniach)</t>
  </si>
  <si>
    <t xml:space="preserve">Czy kwota WYŁĄCZEŃ przypadających w roku 
jest mniejsza od PORĘCZEŃ: </t>
  </si>
  <si>
    <t xml:space="preserve">Czy kwota WYŁĄCZEŃ przypadających w roku 
jest mniejsza od SPŁAT: </t>
  </si>
  <si>
    <t>Czy poprawnie podano pozycje wchodzące w skład "wydatków bieżących bez wydatków na obsługę długu"?</t>
  </si>
  <si>
    <t>Czy wydatki na odsetki i dyskonto mieszczą się w wydatkach na obsługę długu?</t>
  </si>
  <si>
    <t>Czy wydatki majątkowe na projekty realizowane przy udziale środków, o których mowa w art. 5 ust. 1 pkt 2 mieszczą się w wydatkach majątkowych ogółem?</t>
  </si>
  <si>
    <t>Czy kwota długu spłacanego wydatkami mieści się w kwocie długu ogółem?</t>
  </si>
  <si>
    <t>Czy łączna kwota wyłączeń z art. 170 ust. 3 sufp mieści się w kwocie długu ogółem?</t>
  </si>
  <si>
    <t>Dodatkowa weryfikacja danych w tabeli WPF w oparciu o reguły jeszcze nie zaimplementowane w systemie:</t>
  </si>
  <si>
    <t>Czy wydatki bieżące na projekty realizowane przy udziale środków, o których mowa w art. 5 ust. 1 pkt 2 mieszczą się w wydatkach bieżących bez wydatków na obsługę długu?</t>
  </si>
  <si>
    <t>Czy wysokość środków UE mieści się 
w dochodach majątkowych:</t>
  </si>
  <si>
    <t>Czy wysokość środków UE mieści się 
w dochodach bieżących:</t>
  </si>
  <si>
    <t>Czy kwota przejętych zobowiązań [17] jest mniejsza od kwoty długu [7]?</t>
  </si>
  <si>
    <t>Czy kwota zobowiązań przejętych zobowiązań od SP ZOZ mieści  się w kwocie przejętych zobowiązań ogółem?</t>
  </si>
  <si>
    <t>reguła rachunkowa</t>
  </si>
  <si>
    <t xml:space="preserve">reguła badająca zależność logiczną </t>
  </si>
  <si>
    <t>Gdy wynik budżetu jest nadwyżką to czy suma kwot na finansowanie deficytu jest równa ZERO:</t>
  </si>
  <si>
    <t>Układ wg budżetu</t>
  </si>
  <si>
    <t>dla NADWYŻKI I WOLNYCH ŚRODKÓW:</t>
  </si>
  <si>
    <t>Dochody majątkowe - wydatki majątkowe</t>
  </si>
  <si>
    <t>Dochody majątkowe (1b)</t>
  </si>
  <si>
    <t>Wydatki majątkowe (10)</t>
  </si>
  <si>
    <t>022012</t>
  </si>
  <si>
    <t>jeleniogórski</t>
  </si>
  <si>
    <t>[1a]+[1b]</t>
  </si>
  <si>
    <t>[10]+[24]</t>
  </si>
  <si>
    <t>[7a]+[8]</t>
  </si>
  <si>
    <t>[2]+[7b]</t>
  </si>
  <si>
    <t>([7a]+[7b1]+[2c]+[15]-[2d]-[7a1])/[1]</t>
  </si>
  <si>
    <t>([13]-[14])/[1]</t>
  </si>
  <si>
    <t>[20a]-[22]</t>
  </si>
  <si>
    <t>[6]-[7]-[8]</t>
  </si>
  <si>
    <t>[20]</t>
  </si>
  <si>
    <t>[20a]-[21]</t>
  </si>
  <si>
    <t>[26]-[27]</t>
  </si>
  <si>
    <t>([7a]+[7b1]+[2c]+[15])/[1]</t>
  </si>
  <si>
    <t>[3]+[4]+[5]</t>
  </si>
  <si>
    <t>[1]</t>
  </si>
  <si>
    <t>[23]-[24]</t>
  </si>
  <si>
    <t>[1]-[2]</t>
  </si>
  <si>
    <t>[7a]+[7b]</t>
  </si>
  <si>
    <t xml:space="preserve"> ([1a]-[24]+[1c])/[1]</t>
  </si>
  <si>
    <t>([7a]+[7b1]+[2c]-[2d]-[7a1])/[1]</t>
  </si>
  <si>
    <t>([13])/[1]</t>
  </si>
  <si>
    <t>([7a]+[7b1]+[2c])/[1]</t>
  </si>
  <si>
    <t>[1a]</t>
  </si>
  <si>
    <t>Nadwyżka budżetowa z lat ubiegłych plus wolne środki, o których mowa w art. 217 ust. 2 pkt 6 ufp, angażowane w budżecie roku bieżącego</t>
  </si>
  <si>
    <t>[4]+[5]+[11]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</si>
</sst>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</numFmts>
  <fonts count="33"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b/>
      <i/>
      <sz val="9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9"/>
      <color indexed="10"/>
      <name val="Czcionka tekstu podstawowego"/>
      <family val="0"/>
    </font>
    <font>
      <sz val="8"/>
      <color indexed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26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183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10" xfId="56" applyFont="1" applyBorder="1" applyAlignment="1">
      <alignment vertical="center" wrapText="1"/>
      <protection/>
    </xf>
    <xf numFmtId="0" fontId="1" fillId="0" borderId="10" xfId="56" applyFont="1" applyBorder="1" applyAlignment="1" quotePrefix="1">
      <alignment vertical="center" wrapText="1"/>
      <protection/>
    </xf>
    <xf numFmtId="0" fontId="6" fillId="0" borderId="0" xfId="0" applyFont="1" applyBorder="1" applyAlignment="1">
      <alignment/>
    </xf>
    <xf numFmtId="0" fontId="6" fillId="20" borderId="0" xfId="0" applyFont="1" applyFill="1" applyBorder="1" applyAlignment="1">
      <alignment horizontal="center"/>
    </xf>
    <xf numFmtId="49" fontId="2" fillId="20" borderId="11" xfId="56" applyNumberFormat="1" applyFont="1" applyFill="1" applyBorder="1" applyAlignment="1">
      <alignment horizontal="center" vertical="center"/>
      <protection/>
    </xf>
    <xf numFmtId="0" fontId="1" fillId="0" borderId="12" xfId="56" applyFont="1" applyBorder="1" applyAlignment="1">
      <alignment horizontal="center" vertical="center"/>
      <protection/>
    </xf>
    <xf numFmtId="0" fontId="2" fillId="0" borderId="12" xfId="56" applyFont="1" applyBorder="1" applyAlignment="1">
      <alignment horizontal="center" vertical="center"/>
      <protection/>
    </xf>
    <xf numFmtId="0" fontId="2" fillId="6" borderId="12" xfId="56" applyFont="1" applyFill="1" applyBorder="1" applyAlignment="1">
      <alignment horizontal="center" vertical="center"/>
      <protection/>
    </xf>
    <xf numFmtId="0" fontId="2" fillId="6" borderId="13" xfId="56" applyFont="1" applyFill="1" applyBorder="1" applyAlignment="1">
      <alignment horizontal="center" vertical="center"/>
      <protection/>
    </xf>
    <xf numFmtId="0" fontId="2" fillId="0" borderId="14" xfId="56" applyFont="1" applyBorder="1" applyAlignment="1">
      <alignment horizontal="center" vertical="center"/>
      <protection/>
    </xf>
    <xf numFmtId="0" fontId="2" fillId="20" borderId="15" xfId="56" applyFont="1" applyFill="1" applyBorder="1" applyAlignment="1">
      <alignment horizontal="center" vertical="center"/>
      <protection/>
    </xf>
    <xf numFmtId="49" fontId="2" fillId="20" borderId="16" xfId="56" applyNumberFormat="1" applyFont="1" applyFill="1" applyBorder="1" applyAlignment="1">
      <alignment horizontal="center"/>
      <protection/>
    </xf>
    <xf numFmtId="49" fontId="2" fillId="20" borderId="17" xfId="56" applyNumberFormat="1" applyFont="1" applyFill="1" applyBorder="1" applyAlignment="1">
      <alignment horizontal="center"/>
      <protection/>
    </xf>
    <xf numFmtId="0" fontId="1" fillId="24" borderId="10" xfId="56" applyFont="1" applyFill="1" applyBorder="1" applyAlignment="1">
      <alignment vertical="center" wrapText="1"/>
      <protection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8" borderId="0" xfId="0" applyFont="1" applyFill="1" applyAlignment="1" applyProtection="1">
      <alignment vertical="center"/>
      <protection locked="0"/>
    </xf>
    <xf numFmtId="0" fontId="2" fillId="8" borderId="0" xfId="0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49" fontId="2" fillId="20" borderId="18" xfId="56" applyNumberFormat="1" applyFont="1" applyFill="1" applyBorder="1" applyAlignment="1">
      <alignment horizontal="center"/>
      <protection/>
    </xf>
    <xf numFmtId="165" fontId="1" fillId="8" borderId="12" xfId="56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15" fillId="0" borderId="0" xfId="0" applyFont="1" applyAlignment="1">
      <alignment/>
    </xf>
    <xf numFmtId="0" fontId="6" fillId="20" borderId="0" xfId="0" applyFont="1" applyFill="1" applyAlignment="1">
      <alignment horizontal="center"/>
    </xf>
    <xf numFmtId="0" fontId="6" fillId="0" borderId="19" xfId="0" applyFont="1" applyBorder="1" applyAlignment="1">
      <alignment/>
    </xf>
    <xf numFmtId="0" fontId="1" fillId="0" borderId="0" xfId="57" applyFont="1" applyBorder="1" applyAlignment="1" quotePrefix="1">
      <alignment horizontal="right" vertical="center"/>
      <protection/>
    </xf>
    <xf numFmtId="0" fontId="1" fillId="0" borderId="0" xfId="57" applyFont="1" applyBorder="1" applyAlignment="1">
      <alignment vertical="center" wrapText="1"/>
      <protection/>
    </xf>
    <xf numFmtId="165" fontId="1" fillId="0" borderId="0" xfId="57" applyNumberFormat="1" applyFont="1" applyBorder="1" applyAlignment="1">
      <alignment vertical="center"/>
      <protection/>
    </xf>
    <xf numFmtId="0" fontId="12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/>
    </xf>
    <xf numFmtId="165" fontId="1" fillId="8" borderId="20" xfId="56" applyNumberFormat="1" applyFont="1" applyFill="1" applyBorder="1" applyAlignment="1" applyProtection="1">
      <alignment vertical="center"/>
      <protection locked="0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166" fontId="2" fillId="0" borderId="21" xfId="56" applyNumberFormat="1" applyFont="1" applyFill="1" applyBorder="1" applyAlignment="1">
      <alignment vertical="center"/>
      <protection/>
    </xf>
    <xf numFmtId="0" fontId="11" fillId="0" borderId="22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right"/>
    </xf>
    <xf numFmtId="0" fontId="1" fillId="0" borderId="0" xfId="57" applyFont="1" applyBorder="1" applyAlignment="1">
      <alignment vertical="center"/>
      <protection/>
    </xf>
    <xf numFmtId="0" fontId="2" fillId="6" borderId="10" xfId="56" applyFont="1" applyFill="1" applyBorder="1" applyAlignment="1">
      <alignment vertical="center" wrapText="1"/>
      <protection/>
    </xf>
    <xf numFmtId="0" fontId="2" fillId="0" borderId="10" xfId="56" applyFont="1" applyBorder="1" applyAlignment="1">
      <alignment vertical="center" wrapText="1"/>
      <protection/>
    </xf>
    <xf numFmtId="0" fontId="2" fillId="24" borderId="10" xfId="56" applyFont="1" applyFill="1" applyBorder="1" applyAlignment="1">
      <alignment vertical="center" wrapText="1"/>
      <protection/>
    </xf>
    <xf numFmtId="49" fontId="2" fillId="20" borderId="23" xfId="56" applyNumberFormat="1" applyFont="1" applyFill="1" applyBorder="1" applyAlignment="1">
      <alignment vertical="center" wrapText="1"/>
      <protection/>
    </xf>
    <xf numFmtId="0" fontId="2" fillId="20" borderId="24" xfId="56" applyFont="1" applyFill="1" applyBorder="1" applyAlignment="1">
      <alignment vertical="center" wrapText="1"/>
      <protection/>
    </xf>
    <xf numFmtId="0" fontId="7" fillId="6" borderId="10" xfId="56" applyFont="1" applyFill="1" applyBorder="1" applyAlignment="1">
      <alignment vertical="center" wrapText="1"/>
      <protection/>
    </xf>
    <xf numFmtId="0" fontId="7" fillId="6" borderId="25" xfId="56" applyFont="1" applyFill="1" applyBorder="1" applyAlignment="1">
      <alignment vertical="center" wrapText="1"/>
      <protection/>
    </xf>
    <xf numFmtId="0" fontId="2" fillId="24" borderId="24" xfId="56" applyFont="1" applyFill="1" applyBorder="1" applyAlignment="1">
      <alignment vertical="center" wrapText="1"/>
      <protection/>
    </xf>
    <xf numFmtId="0" fontId="6" fillId="0" borderId="0" xfId="0" applyFont="1" applyBorder="1" applyAlignment="1">
      <alignment wrapText="1"/>
    </xf>
    <xf numFmtId="0" fontId="2" fillId="0" borderId="21" xfId="56" applyFont="1" applyFill="1" applyBorder="1" applyAlignment="1">
      <alignment vertical="center" wrapText="1"/>
      <protection/>
    </xf>
    <xf numFmtId="166" fontId="1" fillId="0" borderId="21" xfId="57" applyNumberFormat="1" applyFont="1" applyFill="1" applyBorder="1" applyAlignment="1">
      <alignment vertical="center"/>
      <protection/>
    </xf>
    <xf numFmtId="166" fontId="2" fillId="0" borderId="21" xfId="57" applyNumberFormat="1" applyFont="1" applyFill="1" applyBorder="1" applyAlignment="1">
      <alignment vertical="center"/>
      <protection/>
    </xf>
    <xf numFmtId="49" fontId="2" fillId="20" borderId="21" xfId="57" applyNumberFormat="1" applyFont="1" applyFill="1" applyBorder="1" applyAlignment="1">
      <alignment horizontal="center" vertical="center"/>
      <protection/>
    </xf>
    <xf numFmtId="49" fontId="2" fillId="20" borderId="21" xfId="57" applyNumberFormat="1" applyFont="1" applyFill="1" applyBorder="1" applyAlignment="1">
      <alignment vertical="center"/>
      <protection/>
    </xf>
    <xf numFmtId="1" fontId="2" fillId="20" borderId="21" xfId="57" applyNumberFormat="1" applyFont="1" applyFill="1" applyBorder="1" applyAlignment="1">
      <alignment horizontal="center" vertical="center"/>
      <protection/>
    </xf>
    <xf numFmtId="0" fontId="2" fillId="0" borderId="21" xfId="57" applyFont="1" applyBorder="1" applyAlignment="1">
      <alignment horizontal="center" vertical="center"/>
      <protection/>
    </xf>
    <xf numFmtId="0" fontId="2" fillId="0" borderId="21" xfId="57" applyFont="1" applyFill="1" applyBorder="1" applyAlignment="1">
      <alignment vertical="center" wrapText="1"/>
      <protection/>
    </xf>
    <xf numFmtId="0" fontId="2" fillId="0" borderId="21" xfId="0" applyFont="1" applyBorder="1" applyAlignment="1">
      <alignment horizontal="center" vertical="top"/>
    </xf>
    <xf numFmtId="0" fontId="2" fillId="0" borderId="21" xfId="0" applyFont="1" applyFill="1" applyBorder="1" applyAlignment="1">
      <alignment vertical="top" wrapText="1"/>
    </xf>
    <xf numFmtId="0" fontId="2" fillId="0" borderId="26" xfId="57" applyFont="1" applyBorder="1" applyAlignment="1">
      <alignment horizontal="center" vertical="center"/>
      <protection/>
    </xf>
    <xf numFmtId="0" fontId="2" fillId="0" borderId="26" xfId="57" applyFont="1" applyFill="1" applyBorder="1" applyAlignment="1">
      <alignment vertical="center" wrapText="1"/>
      <protection/>
    </xf>
    <xf numFmtId="166" fontId="2" fillId="0" borderId="26" xfId="57" applyNumberFormat="1" applyFont="1" applyFill="1" applyBorder="1" applyAlignment="1">
      <alignment vertical="center"/>
      <protection/>
    </xf>
    <xf numFmtId="0" fontId="1" fillId="0" borderId="27" xfId="57" applyFont="1" applyBorder="1" applyAlignment="1">
      <alignment horizontal="center" vertical="center"/>
      <protection/>
    </xf>
    <xf numFmtId="0" fontId="1" fillId="0" borderId="27" xfId="57" applyFont="1" applyFill="1" applyBorder="1" applyAlignment="1">
      <alignment horizontal="left" vertical="center" wrapText="1" indent="1"/>
      <protection/>
    </xf>
    <xf numFmtId="166" fontId="1" fillId="0" borderId="27" xfId="57" applyNumberFormat="1" applyFont="1" applyFill="1" applyBorder="1" applyAlignment="1">
      <alignment vertical="center"/>
      <protection/>
    </xf>
    <xf numFmtId="0" fontId="1" fillId="0" borderId="27" xfId="57" applyFont="1" applyFill="1" applyBorder="1" applyAlignment="1">
      <alignment horizontal="left" vertical="center" wrapText="1" indent="2"/>
      <protection/>
    </xf>
    <xf numFmtId="0" fontId="1" fillId="0" borderId="27" xfId="57" applyNumberFormat="1" applyFont="1" applyFill="1" applyBorder="1" applyAlignment="1">
      <alignment horizontal="left" vertical="center" wrapText="1" indent="2"/>
      <protection/>
    </xf>
    <xf numFmtId="0" fontId="2" fillId="0" borderId="27" xfId="57" applyFont="1" applyBorder="1" applyAlignment="1">
      <alignment horizontal="center" vertical="center"/>
      <protection/>
    </xf>
    <xf numFmtId="166" fontId="2" fillId="0" borderId="27" xfId="57" applyNumberFormat="1" applyFont="1" applyFill="1" applyBorder="1" applyAlignment="1">
      <alignment vertical="center"/>
      <protection/>
    </xf>
    <xf numFmtId="0" fontId="1" fillId="0" borderId="27" xfId="57" applyFont="1" applyFill="1" applyBorder="1" applyAlignment="1">
      <alignment horizontal="left" vertical="center" wrapText="1" indent="3"/>
      <protection/>
    </xf>
    <xf numFmtId="0" fontId="1" fillId="0" borderId="27" xfId="57" applyFont="1" applyFill="1" applyBorder="1" applyAlignment="1">
      <alignment horizontal="left" vertical="center" wrapText="1" indent="4"/>
      <protection/>
    </xf>
    <xf numFmtId="0" fontId="1" fillId="0" borderId="27" xfId="57" applyFont="1" applyFill="1" applyBorder="1" applyAlignment="1" quotePrefix="1">
      <alignment horizontal="left" vertical="center" wrapText="1" indent="2"/>
      <protection/>
    </xf>
    <xf numFmtId="0" fontId="1" fillId="0" borderId="27" xfId="57" applyFont="1" applyFill="1" applyBorder="1" applyAlignment="1">
      <alignment vertical="center" wrapText="1"/>
      <protection/>
    </xf>
    <xf numFmtId="10" fontId="2" fillId="0" borderId="27" xfId="57" applyNumberFormat="1" applyFont="1" applyFill="1" applyBorder="1" applyAlignment="1">
      <alignment vertical="center"/>
      <protection/>
    </xf>
    <xf numFmtId="0" fontId="2" fillId="0" borderId="27" xfId="56" applyFont="1" applyFill="1" applyBorder="1" applyAlignment="1">
      <alignment vertical="center" wrapText="1"/>
      <protection/>
    </xf>
    <xf numFmtId="0" fontId="2" fillId="0" borderId="27" xfId="57" applyFont="1" applyFill="1" applyBorder="1" applyAlignment="1">
      <alignment horizontal="center" vertical="center" wrapText="1"/>
      <protection/>
    </xf>
    <xf numFmtId="0" fontId="1" fillId="0" borderId="28" xfId="57" applyFont="1" applyBorder="1" applyAlignment="1">
      <alignment horizontal="center" vertical="center"/>
      <protection/>
    </xf>
    <xf numFmtId="0" fontId="1" fillId="0" borderId="28" xfId="57" applyFont="1" applyFill="1" applyBorder="1" applyAlignment="1">
      <alignment horizontal="left" vertical="center" wrapText="1" indent="1"/>
      <protection/>
    </xf>
    <xf numFmtId="166" fontId="1" fillId="0" borderId="28" xfId="57" applyNumberFormat="1" applyFont="1" applyFill="1" applyBorder="1" applyAlignment="1">
      <alignment vertical="center"/>
      <protection/>
    </xf>
    <xf numFmtId="0" fontId="1" fillId="0" borderId="28" xfId="57" applyFont="1" applyFill="1" applyBorder="1" applyAlignment="1">
      <alignment horizontal="left" vertical="center" wrapText="1" indent="2"/>
      <protection/>
    </xf>
    <xf numFmtId="0" fontId="2" fillId="0" borderId="28" xfId="57" applyFont="1" applyBorder="1" applyAlignment="1">
      <alignment horizontal="center" vertical="center"/>
      <protection/>
    </xf>
    <xf numFmtId="166" fontId="2" fillId="0" borderId="28" xfId="57" applyNumberFormat="1" applyFont="1" applyFill="1" applyBorder="1" applyAlignment="1">
      <alignment vertical="center"/>
      <protection/>
    </xf>
    <xf numFmtId="0" fontId="1" fillId="0" borderId="26" xfId="57" applyFont="1" applyFill="1" applyBorder="1" applyAlignment="1">
      <alignment vertical="center" wrapText="1"/>
      <protection/>
    </xf>
    <xf numFmtId="10" fontId="2" fillId="0" borderId="26" xfId="57" applyNumberFormat="1" applyFont="1" applyFill="1" applyBorder="1" applyAlignment="1">
      <alignment vertical="center"/>
      <protection/>
    </xf>
    <xf numFmtId="0" fontId="1" fillId="0" borderId="28" xfId="57" applyFont="1" applyFill="1" applyBorder="1" applyAlignment="1">
      <alignment vertical="center" wrapText="1"/>
      <protection/>
    </xf>
    <xf numFmtId="10" fontId="2" fillId="0" borderId="28" xfId="57" applyNumberFormat="1" applyFont="1" applyFill="1" applyBorder="1" applyAlignment="1">
      <alignment vertical="center"/>
      <protection/>
    </xf>
    <xf numFmtId="165" fontId="1" fillId="0" borderId="26" xfId="57" applyNumberFormat="1" applyFont="1" applyFill="1" applyBorder="1" applyAlignment="1">
      <alignment vertical="center"/>
      <protection/>
    </xf>
    <xf numFmtId="166" fontId="1" fillId="0" borderId="26" xfId="57" applyNumberFormat="1" applyFont="1" applyFill="1" applyBorder="1" applyAlignment="1">
      <alignment vertical="center"/>
      <protection/>
    </xf>
    <xf numFmtId="1" fontId="32" fillId="0" borderId="0" xfId="0" applyNumberFormat="1" applyFont="1" applyAlignment="1">
      <alignment horizontal="center" vertical="center"/>
    </xf>
    <xf numFmtId="166" fontId="32" fillId="0" borderId="0" xfId="0" applyNumberFormat="1" applyFont="1" applyAlignment="1">
      <alignment vertical="center"/>
    </xf>
    <xf numFmtId="2" fontId="32" fillId="0" borderId="0" xfId="0" applyNumberFormat="1" applyFont="1" applyAlignment="1">
      <alignment vertical="center"/>
    </xf>
    <xf numFmtId="49" fontId="32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14" fontId="32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49" fontId="2" fillId="0" borderId="21" xfId="56" applyNumberFormat="1" applyFont="1" applyFill="1" applyBorder="1" applyAlignment="1">
      <alignment horizontal="center" vertical="center"/>
      <protection/>
    </xf>
    <xf numFmtId="49" fontId="2" fillId="0" borderId="21" xfId="56" applyNumberFormat="1" applyFont="1" applyFill="1" applyBorder="1" applyAlignment="1">
      <alignment horizontal="center" vertical="center" wrapText="1"/>
      <protection/>
    </xf>
    <xf numFmtId="49" fontId="2" fillId="0" borderId="21" xfId="56" applyNumberFormat="1" applyFont="1" applyFill="1" applyBorder="1" applyAlignment="1">
      <alignment horizontal="center"/>
      <protection/>
    </xf>
    <xf numFmtId="0" fontId="2" fillId="0" borderId="21" xfId="56" applyFont="1" applyFill="1" applyBorder="1" applyAlignment="1">
      <alignment horizontal="center" vertical="center"/>
      <protection/>
    </xf>
    <xf numFmtId="166" fontId="2" fillId="0" borderId="21" xfId="56" applyNumberFormat="1" applyFont="1" applyFill="1" applyBorder="1" applyAlignment="1" applyProtection="1">
      <alignment vertical="center"/>
      <protection locked="0"/>
    </xf>
    <xf numFmtId="0" fontId="7" fillId="0" borderId="21" xfId="56" applyFont="1" applyFill="1" applyBorder="1" applyAlignment="1">
      <alignment vertical="center" wrapText="1"/>
      <protection/>
    </xf>
    <xf numFmtId="166" fontId="2" fillId="0" borderId="21" xfId="56" applyNumberFormat="1" applyFont="1" applyFill="1" applyBorder="1" applyAlignment="1" applyProtection="1">
      <alignment vertical="center"/>
      <protection/>
    </xf>
    <xf numFmtId="0" fontId="7" fillId="0" borderId="21" xfId="56" applyFont="1" applyFill="1" applyBorder="1" applyAlignment="1">
      <alignment horizontal="center" vertical="center"/>
      <protection/>
    </xf>
    <xf numFmtId="0" fontId="1" fillId="0" borderId="27" xfId="56" applyFont="1" applyFill="1" applyBorder="1" applyAlignment="1">
      <alignment horizontal="center" vertical="center"/>
      <protection/>
    </xf>
    <xf numFmtId="0" fontId="1" fillId="0" borderId="27" xfId="56" applyFont="1" applyFill="1" applyBorder="1" applyAlignment="1">
      <alignment horizontal="left" vertical="center" wrapText="1" indent="1"/>
      <protection/>
    </xf>
    <xf numFmtId="166" fontId="1" fillId="0" borderId="27" xfId="56" applyNumberFormat="1" applyFont="1" applyFill="1" applyBorder="1" applyAlignment="1" applyProtection="1">
      <alignment vertical="center"/>
      <protection locked="0"/>
    </xf>
    <xf numFmtId="0" fontId="1" fillId="0" borderId="27" xfId="56" applyFont="1" applyFill="1" applyBorder="1" applyAlignment="1">
      <alignment horizontal="left" vertical="center" wrapText="1" indent="2"/>
      <protection/>
    </xf>
    <xf numFmtId="0" fontId="1" fillId="0" borderId="27" xfId="56" applyFont="1" applyFill="1" applyBorder="1" applyAlignment="1" quotePrefix="1">
      <alignment horizontal="left" vertical="center" wrapText="1" indent="1"/>
      <protection/>
    </xf>
    <xf numFmtId="0" fontId="10" fillId="0" borderId="27" xfId="56" applyFont="1" applyFill="1" applyBorder="1" applyAlignment="1">
      <alignment horizontal="left" vertical="center" wrapText="1" indent="2"/>
      <protection/>
    </xf>
    <xf numFmtId="0" fontId="10" fillId="0" borderId="27" xfId="56" applyFont="1" applyFill="1" applyBorder="1" applyAlignment="1">
      <alignment horizontal="left" vertical="center" wrapText="1" indent="1"/>
      <protection/>
    </xf>
    <xf numFmtId="166" fontId="2" fillId="0" borderId="27" xfId="56" applyNumberFormat="1" applyFont="1" applyFill="1" applyBorder="1" applyAlignment="1">
      <alignment vertical="center"/>
      <protection/>
    </xf>
    <xf numFmtId="0" fontId="7" fillId="0" borderId="27" xfId="56" applyFont="1" applyFill="1" applyBorder="1" applyAlignment="1">
      <alignment horizontal="center" vertical="center"/>
      <protection/>
    </xf>
    <xf numFmtId="0" fontId="10" fillId="0" borderId="27" xfId="56" applyFont="1" applyFill="1" applyBorder="1" applyAlignment="1">
      <alignment horizontal="center" vertical="center"/>
      <protection/>
    </xf>
    <xf numFmtId="0" fontId="1" fillId="0" borderId="27" xfId="56" applyFont="1" applyFill="1" applyBorder="1" applyAlignment="1">
      <alignment vertical="center" wrapText="1"/>
      <protection/>
    </xf>
    <xf numFmtId="10" fontId="1" fillId="0" borderId="27" xfId="59" applyNumberFormat="1" applyFont="1" applyFill="1" applyBorder="1" applyAlignment="1">
      <alignment vertical="center"/>
    </xf>
    <xf numFmtId="0" fontId="10" fillId="0" borderId="27" xfId="56" applyFont="1" applyFill="1" applyBorder="1" applyAlignment="1">
      <alignment vertical="center" wrapText="1"/>
      <protection/>
    </xf>
    <xf numFmtId="0" fontId="2" fillId="0" borderId="27" xfId="57" applyFont="1" applyBorder="1" applyAlignment="1">
      <alignment horizontal="center" vertical="center" wrapText="1"/>
      <protection/>
    </xf>
    <xf numFmtId="0" fontId="8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vertical="top" wrapText="1"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horizontal="left" vertical="top" wrapText="1" indent="1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top" wrapText="1" indent="1"/>
    </xf>
    <xf numFmtId="166" fontId="2" fillId="0" borderId="28" xfId="56" applyNumberFormat="1" applyFont="1" applyFill="1" applyBorder="1" applyAlignment="1">
      <alignment vertical="center"/>
      <protection/>
    </xf>
    <xf numFmtId="0" fontId="2" fillId="0" borderId="26" xfId="56" applyFont="1" applyFill="1" applyBorder="1" applyAlignment="1">
      <alignment horizontal="center" vertical="center"/>
      <protection/>
    </xf>
    <xf numFmtId="0" fontId="2" fillId="0" borderId="26" xfId="56" applyFont="1" applyFill="1" applyBorder="1" applyAlignment="1">
      <alignment vertical="center" wrapText="1"/>
      <protection/>
    </xf>
    <xf numFmtId="166" fontId="2" fillId="0" borderId="26" xfId="56" applyNumberFormat="1" applyFont="1" applyFill="1" applyBorder="1" applyAlignment="1" applyProtection="1">
      <alignment vertical="center"/>
      <protection locked="0"/>
    </xf>
    <xf numFmtId="0" fontId="1" fillId="0" borderId="28" xfId="56" applyFont="1" applyFill="1" applyBorder="1" applyAlignment="1">
      <alignment horizontal="center" vertical="center"/>
      <protection/>
    </xf>
    <xf numFmtId="0" fontId="1" fillId="0" borderId="28" xfId="56" applyFont="1" applyFill="1" applyBorder="1" applyAlignment="1">
      <alignment horizontal="left" vertical="center" wrapText="1" indent="2"/>
      <protection/>
    </xf>
    <xf numFmtId="166" fontId="1" fillId="0" borderId="28" xfId="56" applyNumberFormat="1" applyFont="1" applyFill="1" applyBorder="1" applyAlignment="1" applyProtection="1">
      <alignment vertical="center"/>
      <protection locked="0"/>
    </xf>
    <xf numFmtId="0" fontId="1" fillId="0" borderId="28" xfId="56" applyFont="1" applyFill="1" applyBorder="1" applyAlignment="1">
      <alignment horizontal="left" vertical="center" wrapText="1" indent="1"/>
      <protection/>
    </xf>
    <xf numFmtId="166" fontId="2" fillId="0" borderId="29" xfId="56" applyNumberFormat="1" applyFont="1" applyFill="1" applyBorder="1" applyAlignment="1">
      <alignment vertical="center"/>
      <protection/>
    </xf>
    <xf numFmtId="166" fontId="2" fillId="0" borderId="26" xfId="56" applyNumberFormat="1" applyFont="1" applyFill="1" applyBorder="1" applyAlignment="1">
      <alignment vertical="center"/>
      <protection/>
    </xf>
    <xf numFmtId="166" fontId="1" fillId="0" borderId="28" xfId="56" applyNumberFormat="1" applyFont="1" applyFill="1" applyBorder="1" applyAlignment="1">
      <alignment vertical="center"/>
      <protection/>
    </xf>
    <xf numFmtId="166" fontId="2" fillId="0" borderId="26" xfId="56" applyNumberFormat="1" applyFont="1" applyFill="1" applyBorder="1" applyAlignment="1">
      <alignment vertical="center" wrapText="1"/>
      <protection/>
    </xf>
    <xf numFmtId="0" fontId="7" fillId="0" borderId="26" xfId="56" applyFont="1" applyFill="1" applyBorder="1" applyAlignment="1">
      <alignment horizontal="center" vertical="center"/>
      <protection/>
    </xf>
    <xf numFmtId="0" fontId="7" fillId="0" borderId="26" xfId="56" applyFont="1" applyFill="1" applyBorder="1" applyAlignment="1">
      <alignment vertical="center" wrapText="1"/>
      <protection/>
    </xf>
    <xf numFmtId="0" fontId="10" fillId="0" borderId="28" xfId="56" applyFont="1" applyFill="1" applyBorder="1" applyAlignment="1">
      <alignment horizontal="center" vertical="center"/>
      <protection/>
    </xf>
    <xf numFmtId="0" fontId="10" fillId="0" borderId="28" xfId="56" applyFont="1" applyFill="1" applyBorder="1" applyAlignment="1">
      <alignment horizontal="left" vertical="center" wrapText="1" indent="1"/>
      <protection/>
    </xf>
    <xf numFmtId="0" fontId="10" fillId="0" borderId="26" xfId="56" applyFont="1" applyFill="1" applyBorder="1" applyAlignment="1">
      <alignment horizontal="center" vertical="center"/>
      <protection/>
    </xf>
    <xf numFmtId="0" fontId="1" fillId="0" borderId="26" xfId="56" applyFont="1" applyFill="1" applyBorder="1" applyAlignment="1">
      <alignment vertical="center" wrapText="1"/>
      <protection/>
    </xf>
    <xf numFmtId="10" fontId="1" fillId="0" borderId="26" xfId="59" applyNumberFormat="1" applyFont="1" applyFill="1" applyBorder="1" applyAlignment="1">
      <alignment vertical="center"/>
    </xf>
    <xf numFmtId="0" fontId="10" fillId="0" borderId="28" xfId="56" applyFont="1" applyFill="1" applyBorder="1" applyAlignment="1">
      <alignment horizontal="left" vertical="center" wrapText="1"/>
      <protection/>
    </xf>
    <xf numFmtId="10" fontId="1" fillId="0" borderId="28" xfId="59" applyNumberFormat="1" applyFont="1" applyFill="1" applyBorder="1" applyAlignment="1">
      <alignment vertical="center"/>
    </xf>
    <xf numFmtId="0" fontId="9" fillId="0" borderId="28" xfId="0" applyFont="1" applyBorder="1" applyAlignment="1">
      <alignment horizontal="center" vertical="center"/>
    </xf>
    <xf numFmtId="0" fontId="9" fillId="0" borderId="28" xfId="0" applyFont="1" applyBorder="1" applyAlignment="1">
      <alignment vertical="top" wrapText="1"/>
    </xf>
    <xf numFmtId="0" fontId="2" fillId="0" borderId="28" xfId="57" applyFont="1" applyBorder="1" applyAlignment="1">
      <alignment horizontal="center" vertical="center" wrapText="1"/>
      <protection/>
    </xf>
    <xf numFmtId="0" fontId="9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top" wrapText="1" indent="1"/>
    </xf>
    <xf numFmtId="0" fontId="9" fillId="0" borderId="28" xfId="0" applyFont="1" applyBorder="1" applyAlignment="1">
      <alignment horizontal="left" vertical="top" wrapText="1" indent="2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top" wrapText="1" indent="1"/>
    </xf>
    <xf numFmtId="0" fontId="2" fillId="0" borderId="28" xfId="0" applyFont="1" applyBorder="1" applyAlignment="1">
      <alignment horizontal="left" vertical="top" wrapText="1" indent="2"/>
    </xf>
    <xf numFmtId="0" fontId="11" fillId="0" borderId="0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11" fillId="24" borderId="0" xfId="0" applyFont="1" applyFill="1" applyAlignment="1">
      <alignment/>
    </xf>
    <xf numFmtId="0" fontId="11" fillId="11" borderId="0" xfId="0" applyFont="1" applyFill="1" applyAlignment="1">
      <alignment/>
    </xf>
    <xf numFmtId="0" fontId="13" fillId="11" borderId="26" xfId="0" applyFont="1" applyFill="1" applyBorder="1" applyAlignment="1">
      <alignment horizontal="right" wrapText="1"/>
    </xf>
    <xf numFmtId="166" fontId="6" fillId="0" borderId="26" xfId="0" applyNumberFormat="1" applyFont="1" applyBorder="1" applyAlignment="1">
      <alignment vertical="center"/>
    </xf>
    <xf numFmtId="0" fontId="13" fillId="0" borderId="27" xfId="0" applyFont="1" applyBorder="1" applyAlignment="1">
      <alignment horizontal="right" wrapText="1"/>
    </xf>
    <xf numFmtId="166" fontId="6" fillId="0" borderId="27" xfId="0" applyNumberFormat="1" applyFont="1" applyBorder="1" applyAlignment="1">
      <alignment vertical="center"/>
    </xf>
    <xf numFmtId="0" fontId="13" fillId="11" borderId="27" xfId="0" applyFont="1" applyFill="1" applyBorder="1" applyAlignment="1">
      <alignment horizontal="right" wrapText="1"/>
    </xf>
    <xf numFmtId="0" fontId="14" fillId="0" borderId="27" xfId="0" applyFont="1" applyBorder="1" applyAlignment="1">
      <alignment horizontal="right" wrapText="1"/>
    </xf>
    <xf numFmtId="0" fontId="6" fillId="0" borderId="27" xfId="0" applyFont="1" applyBorder="1" applyAlignment="1">
      <alignment vertical="center"/>
    </xf>
    <xf numFmtId="0" fontId="13" fillId="24" borderId="27" xfId="0" applyFont="1" applyFill="1" applyBorder="1" applyAlignment="1">
      <alignment horizontal="right"/>
    </xf>
    <xf numFmtId="0" fontId="13" fillId="0" borderId="27" xfId="0" applyFont="1" applyBorder="1" applyAlignment="1">
      <alignment horizontal="right"/>
    </xf>
    <xf numFmtId="0" fontId="6" fillId="0" borderId="27" xfId="0" applyFont="1" applyBorder="1" applyAlignment="1">
      <alignment horizontal="center" vertical="center"/>
    </xf>
    <xf numFmtId="0" fontId="13" fillId="24" borderId="27" xfId="0" applyFont="1" applyFill="1" applyBorder="1" applyAlignment="1">
      <alignment horizontal="right" wrapText="1"/>
    </xf>
    <xf numFmtId="0" fontId="6" fillId="0" borderId="27" xfId="0" applyFont="1" applyBorder="1" applyAlignment="1">
      <alignment/>
    </xf>
    <xf numFmtId="0" fontId="13" fillId="24" borderId="28" xfId="0" applyFont="1" applyFill="1" applyBorder="1" applyAlignment="1">
      <alignment horizontal="right" wrapText="1"/>
    </xf>
    <xf numFmtId="0" fontId="6" fillId="0" borderId="28" xfId="0" applyFont="1" applyBorder="1" applyAlignment="1">
      <alignment vertical="center"/>
    </xf>
    <xf numFmtId="0" fontId="15" fillId="0" borderId="0" xfId="0" applyFont="1" applyAlignment="1">
      <alignment/>
    </xf>
    <xf numFmtId="0" fontId="2" fillId="0" borderId="26" xfId="57" applyFont="1" applyFill="1" applyBorder="1" applyAlignment="1">
      <alignment horizontal="center" vertical="center"/>
      <protection/>
    </xf>
    <xf numFmtId="0" fontId="7" fillId="0" borderId="26" xfId="57" applyFont="1" applyFill="1" applyBorder="1" applyAlignment="1">
      <alignment horizontal="left" vertical="center" wrapText="1"/>
      <protection/>
    </xf>
    <xf numFmtId="0" fontId="2" fillId="0" borderId="28" xfId="57" applyFont="1" applyFill="1" applyBorder="1" applyAlignment="1">
      <alignment horizontal="center" vertical="center"/>
      <protection/>
    </xf>
    <xf numFmtId="0" fontId="7" fillId="0" borderId="28" xfId="57" applyFont="1" applyFill="1" applyBorder="1" applyAlignment="1">
      <alignment horizontal="left" vertical="center" wrapText="1"/>
      <protection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Normalny 6 2" xfId="57"/>
    <cellStyle name="Obliczenia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dxfs count="2">
    <dxf>
      <font>
        <b/>
        <i val="0"/>
        <color rgb="FFFF0000"/>
      </font>
    </dxf>
    <dxf>
      <font>
        <b/>
        <i val="0"/>
      </font>
      <fill>
        <patternFill>
          <bgColor rgb="FF66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</sheetPr>
  <dimension ref="A1:HH90"/>
  <sheetViews>
    <sheetView tabSelected="1" view="pageLayout" zoomScaleSheetLayoutView="100" workbookViewId="0" topLeftCell="C1">
      <selection activeCell="E9" sqref="E9"/>
    </sheetView>
  </sheetViews>
  <sheetFormatPr defaultColWidth="8.796875" defaultRowHeight="14.25"/>
  <cols>
    <col min="1" max="1" width="3.69921875" style="1" customWidth="1"/>
    <col min="2" max="2" width="43.8984375" style="1" customWidth="1"/>
    <col min="3" max="11" width="11.59765625" style="1" customWidth="1"/>
    <col min="12" max="16384" width="9" style="1" customWidth="1"/>
  </cols>
  <sheetData>
    <row r="1" spans="2:11" s="4" customFormat="1" ht="12">
      <c r="B1" s="26" t="s">
        <v>42</v>
      </c>
      <c r="C1" s="16" t="str">
        <f>+Zal_1_WPF_wg_przeplywow!D1</f>
        <v>022012</v>
      </c>
      <c r="D1" s="22" t="str">
        <f>C2&amp;" - "&amp;"WPF za lata "&amp;C3&amp;" - Nr Uchwały JST: "&amp;C1</f>
        <v>(206000) - jeleniogórski - WPF za lata 2012-2020 - Nr Uchwały JST: 022012</v>
      </c>
      <c r="F1" s="1"/>
      <c r="G1" s="38"/>
      <c r="H1" s="38"/>
      <c r="I1" s="38"/>
      <c r="J1" s="1"/>
      <c r="K1" s="1"/>
    </row>
    <row r="2" spans="2:11" s="4" customFormat="1" ht="12">
      <c r="B2" s="19" t="s">
        <v>40</v>
      </c>
      <c r="C2" s="20" t="str">
        <f>+Zal_1_WPF_wg_przeplywow!D2</f>
        <v>(206000) - jeleniogórski</v>
      </c>
      <c r="F2" s="16"/>
      <c r="G2" s="38"/>
      <c r="H2" s="38"/>
      <c r="I2" s="38"/>
      <c r="J2" s="1"/>
      <c r="K2" s="1"/>
    </row>
    <row r="3" spans="2:11" s="4" customFormat="1" ht="12.75">
      <c r="B3" s="18" t="s">
        <v>41</v>
      </c>
      <c r="C3" s="21" t="str">
        <f>+Zal_1_WPF_wg_przeplywow!D3</f>
        <v>2012-2020</v>
      </c>
      <c r="D3" s="34" t="s">
        <v>191</v>
      </c>
      <c r="F3" s="1"/>
      <c r="G3" s="1"/>
      <c r="H3" s="1"/>
      <c r="I3" s="1"/>
      <c r="J3" s="1"/>
      <c r="K3" s="1"/>
    </row>
    <row r="4" spans="1:11" s="4" customFormat="1" ht="15">
      <c r="A4" s="1"/>
      <c r="B4" s="178" t="str">
        <f>"WIELOLETNIA PROGNOZA FINANSOWA POWIATU JELENIOGÓRSKIEGO NA LATA 2012 - 2020"</f>
        <v>WIELOLETNIA PROGNOZA FINANSOWA POWIATU JELENIOGÓRSKIEGO NA LATA 2012 - 2020</v>
      </c>
      <c r="C4" s="1"/>
      <c r="D4" s="1"/>
      <c r="E4" s="1"/>
      <c r="F4" s="1"/>
      <c r="G4" s="1"/>
      <c r="H4" s="1"/>
      <c r="I4" s="1"/>
      <c r="J4" s="1"/>
      <c r="K4" s="1"/>
    </row>
    <row r="5" spans="1:216" s="29" customFormat="1" ht="12">
      <c r="A5" s="59" t="s">
        <v>0</v>
      </c>
      <c r="B5" s="60" t="s">
        <v>1</v>
      </c>
      <c r="C5" s="61">
        <v>2012</v>
      </c>
      <c r="D5" s="61">
        <v>2013</v>
      </c>
      <c r="E5" s="61">
        <v>2014</v>
      </c>
      <c r="F5" s="61">
        <v>2015</v>
      </c>
      <c r="G5" s="61">
        <v>2016</v>
      </c>
      <c r="H5" s="61">
        <v>2017</v>
      </c>
      <c r="I5" s="61">
        <v>2018</v>
      </c>
      <c r="J5" s="61">
        <v>2019</v>
      </c>
      <c r="K5" s="61">
        <v>2020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</row>
    <row r="6" spans="1:11" ht="12">
      <c r="A6" s="66" t="s">
        <v>45</v>
      </c>
      <c r="B6" s="67" t="s">
        <v>57</v>
      </c>
      <c r="C6" s="68">
        <f>+C7+C9</f>
        <v>69885258</v>
      </c>
      <c r="D6" s="68">
        <f aca="true" t="shared" si="0" ref="D6:K6">+D7+D9</f>
        <v>66487152</v>
      </c>
      <c r="E6" s="68">
        <f t="shared" si="0"/>
        <v>67037835</v>
      </c>
      <c r="F6" s="68">
        <f t="shared" si="0"/>
        <v>68866659</v>
      </c>
      <c r="G6" s="68">
        <f t="shared" si="0"/>
        <v>71276992</v>
      </c>
      <c r="H6" s="68">
        <f t="shared" si="0"/>
        <v>73771687</v>
      </c>
      <c r="I6" s="68">
        <f t="shared" si="0"/>
        <v>76353696</v>
      </c>
      <c r="J6" s="68">
        <f t="shared" si="0"/>
        <v>79026075</v>
      </c>
      <c r="K6" s="68">
        <f t="shared" si="0"/>
        <v>81791988</v>
      </c>
    </row>
    <row r="7" spans="1:11" ht="12">
      <c r="A7" s="69"/>
      <c r="B7" s="70" t="s">
        <v>58</v>
      </c>
      <c r="C7" s="71">
        <f>+Zal_1_WPF_wg_przeplywow!C8</f>
        <v>66365258</v>
      </c>
      <c r="D7" s="71">
        <f>+Zal_1_WPF_wg_przeplywow!D8</f>
        <v>64287152</v>
      </c>
      <c r="E7" s="71">
        <f>+Zal_1_WPF_wg_przeplywow!E8</f>
        <v>66537835</v>
      </c>
      <c r="F7" s="71">
        <f>+Zal_1_WPF_wg_przeplywow!F8</f>
        <v>68866659</v>
      </c>
      <c r="G7" s="71">
        <f>+Zal_1_WPF_wg_przeplywow!G8</f>
        <v>71276992</v>
      </c>
      <c r="H7" s="71">
        <f>+Zal_1_WPF_wg_przeplywow!H8</f>
        <v>73771687</v>
      </c>
      <c r="I7" s="71">
        <f>+Zal_1_WPF_wg_przeplywow!I8</f>
        <v>76353696</v>
      </c>
      <c r="J7" s="71">
        <f>+Zal_1_WPF_wg_przeplywow!J8</f>
        <v>79026075</v>
      </c>
      <c r="K7" s="71">
        <f>+Zal_1_WPF_wg_przeplywow!K8</f>
        <v>81791988</v>
      </c>
    </row>
    <row r="8" spans="1:11" ht="12">
      <c r="A8" s="69"/>
      <c r="B8" s="72" t="s">
        <v>84</v>
      </c>
      <c r="C8" s="71">
        <f>+Zal_1_WPF_wg_przeplywow!C9</f>
        <v>383050</v>
      </c>
      <c r="D8" s="71">
        <f>+Zal_1_WPF_wg_przeplywow!D9</f>
        <v>171278</v>
      </c>
      <c r="E8" s="71">
        <f>+Zal_1_WPF_wg_przeplywow!E9</f>
        <v>0</v>
      </c>
      <c r="F8" s="71">
        <f>+Zal_1_WPF_wg_przeplywow!F9</f>
        <v>0</v>
      </c>
      <c r="G8" s="71">
        <f>+Zal_1_WPF_wg_przeplywow!G9</f>
        <v>0</v>
      </c>
      <c r="H8" s="71">
        <f>+Zal_1_WPF_wg_przeplywow!H9</f>
        <v>0</v>
      </c>
      <c r="I8" s="71">
        <f>+Zal_1_WPF_wg_przeplywow!I9</f>
        <v>0</v>
      </c>
      <c r="J8" s="71">
        <f>+Zal_1_WPF_wg_przeplywow!J9</f>
        <v>0</v>
      </c>
      <c r="K8" s="71">
        <f>+Zal_1_WPF_wg_przeplywow!K9</f>
        <v>0</v>
      </c>
    </row>
    <row r="9" spans="1:11" ht="12">
      <c r="A9" s="69"/>
      <c r="B9" s="70" t="s">
        <v>85</v>
      </c>
      <c r="C9" s="71">
        <f>+Zal_1_WPF_wg_przeplywow!C10</f>
        <v>3520000</v>
      </c>
      <c r="D9" s="71">
        <f>+Zal_1_WPF_wg_przeplywow!D10</f>
        <v>2200000</v>
      </c>
      <c r="E9" s="71">
        <f>+Zal_1_WPF_wg_przeplywow!E10</f>
        <v>500000</v>
      </c>
      <c r="F9" s="71">
        <f>+Zal_1_WPF_wg_przeplywow!F10</f>
        <v>0</v>
      </c>
      <c r="G9" s="71">
        <f>+Zal_1_WPF_wg_przeplywow!G10</f>
        <v>0</v>
      </c>
      <c r="H9" s="71">
        <f>+Zal_1_WPF_wg_przeplywow!H10</f>
        <v>0</v>
      </c>
      <c r="I9" s="71">
        <f>+Zal_1_WPF_wg_przeplywow!I10</f>
        <v>0</v>
      </c>
      <c r="J9" s="71">
        <f>+Zal_1_WPF_wg_przeplywow!J10</f>
        <v>0</v>
      </c>
      <c r="K9" s="71">
        <f>+Zal_1_WPF_wg_przeplywow!K10</f>
        <v>0</v>
      </c>
    </row>
    <row r="10" spans="1:11" ht="12">
      <c r="A10" s="69"/>
      <c r="B10" s="73" t="s">
        <v>86</v>
      </c>
      <c r="C10" s="71">
        <f>+Zal_1_WPF_wg_przeplywow!C11</f>
        <v>3000000</v>
      </c>
      <c r="D10" s="71">
        <f>+Zal_1_WPF_wg_przeplywow!D11</f>
        <v>2200000</v>
      </c>
      <c r="E10" s="71">
        <f>+Zal_1_WPF_wg_przeplywow!E11</f>
        <v>500000</v>
      </c>
      <c r="F10" s="71">
        <f>+Zal_1_WPF_wg_przeplywow!F11</f>
        <v>0</v>
      </c>
      <c r="G10" s="71">
        <f>+Zal_1_WPF_wg_przeplywow!G11</f>
        <v>0</v>
      </c>
      <c r="H10" s="71">
        <f>+Zal_1_WPF_wg_przeplywow!H11</f>
        <v>0</v>
      </c>
      <c r="I10" s="71">
        <f>+Zal_1_WPF_wg_przeplywow!I11</f>
        <v>0</v>
      </c>
      <c r="J10" s="71">
        <f>+Zal_1_WPF_wg_przeplywow!J11</f>
        <v>0</v>
      </c>
      <c r="K10" s="71">
        <f>+Zal_1_WPF_wg_przeplywow!K11</f>
        <v>0</v>
      </c>
    </row>
    <row r="11" spans="1:11" ht="12">
      <c r="A11" s="83"/>
      <c r="B11" s="86" t="s">
        <v>87</v>
      </c>
      <c r="C11" s="85">
        <f>+Zal_1_WPF_wg_przeplywow!C12</f>
        <v>0</v>
      </c>
      <c r="D11" s="85">
        <f>+Zal_1_WPF_wg_przeplywow!D12</f>
        <v>0</v>
      </c>
      <c r="E11" s="85">
        <f>+Zal_1_WPF_wg_przeplywow!E12</f>
        <v>0</v>
      </c>
      <c r="F11" s="85">
        <f>+Zal_1_WPF_wg_przeplywow!F12</f>
        <v>0</v>
      </c>
      <c r="G11" s="85">
        <f>+Zal_1_WPF_wg_przeplywow!G12</f>
        <v>0</v>
      </c>
      <c r="H11" s="85">
        <f>+Zal_1_WPF_wg_przeplywow!H12</f>
        <v>0</v>
      </c>
      <c r="I11" s="85">
        <f>+Zal_1_WPF_wg_przeplywow!I12</f>
        <v>0</v>
      </c>
      <c r="J11" s="85">
        <f>+Zal_1_WPF_wg_przeplywow!J12</f>
        <v>0</v>
      </c>
      <c r="K11" s="85">
        <f>+Zal_1_WPF_wg_przeplywow!K12</f>
        <v>0</v>
      </c>
    </row>
    <row r="12" spans="1:11" s="4" customFormat="1" ht="12.75" thickBot="1">
      <c r="A12" s="66" t="s">
        <v>2</v>
      </c>
      <c r="B12" s="67" t="s">
        <v>46</v>
      </c>
      <c r="C12" s="68">
        <f>+C13+C20</f>
        <v>69009392</v>
      </c>
      <c r="D12" s="68">
        <f aca="true" t="shared" si="1" ref="D12:K12">+D13+D20</f>
        <v>63439152</v>
      </c>
      <c r="E12" s="68">
        <f t="shared" si="1"/>
        <v>64639835</v>
      </c>
      <c r="F12" s="68">
        <f t="shared" si="1"/>
        <v>65218659</v>
      </c>
      <c r="G12" s="68">
        <f t="shared" si="1"/>
        <v>68478992</v>
      </c>
      <c r="H12" s="68">
        <f t="shared" si="1"/>
        <v>72273687</v>
      </c>
      <c r="I12" s="68">
        <f t="shared" si="1"/>
        <v>74355696</v>
      </c>
      <c r="J12" s="68">
        <f t="shared" si="1"/>
        <v>77028075</v>
      </c>
      <c r="K12" s="68">
        <f t="shared" si="1"/>
        <v>80291988</v>
      </c>
    </row>
    <row r="13" spans="1:216" s="30" customFormat="1" ht="12">
      <c r="A13" s="74"/>
      <c r="B13" s="70" t="s">
        <v>59</v>
      </c>
      <c r="C13" s="75">
        <f>+C14+C18</f>
        <v>67656486</v>
      </c>
      <c r="D13" s="75">
        <f aca="true" t="shared" si="2" ref="D13:K13">+D14+D18</f>
        <v>60005129</v>
      </c>
      <c r="E13" s="75">
        <f t="shared" si="2"/>
        <v>61813670</v>
      </c>
      <c r="F13" s="75">
        <f t="shared" si="2"/>
        <v>63171899</v>
      </c>
      <c r="G13" s="75">
        <f t="shared" si="2"/>
        <v>64565746</v>
      </c>
      <c r="H13" s="75">
        <f t="shared" si="2"/>
        <v>66062665</v>
      </c>
      <c r="I13" s="75">
        <f t="shared" si="2"/>
        <v>67601632</v>
      </c>
      <c r="J13" s="75">
        <f t="shared" si="2"/>
        <v>69175647</v>
      </c>
      <c r="K13" s="75">
        <f t="shared" si="2"/>
        <v>70799739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</row>
    <row r="14" spans="1:11" ht="12">
      <c r="A14" s="74"/>
      <c r="B14" s="72" t="s">
        <v>90</v>
      </c>
      <c r="C14" s="75">
        <f>+Zal_1_WPF_wg_przeplywow!C13</f>
        <v>66106486</v>
      </c>
      <c r="D14" s="75">
        <f>+Zal_1_WPF_wg_przeplywow!D13</f>
        <v>59001629</v>
      </c>
      <c r="E14" s="75">
        <f>+Zal_1_WPF_wg_przeplywow!E13</f>
        <v>60989170</v>
      </c>
      <c r="F14" s="75">
        <f>+Zal_1_WPF_wg_przeplywow!F13</f>
        <v>62513899</v>
      </c>
      <c r="G14" s="75">
        <f>+Zal_1_WPF_wg_przeplywow!G13</f>
        <v>64076746</v>
      </c>
      <c r="H14" s="75">
        <f>+Zal_1_WPF_wg_przeplywow!H13</f>
        <v>65678665</v>
      </c>
      <c r="I14" s="75">
        <f>+Zal_1_WPF_wg_przeplywow!I13</f>
        <v>67320632</v>
      </c>
      <c r="J14" s="75">
        <f>+Zal_1_WPF_wg_przeplywow!J13</f>
        <v>69003647</v>
      </c>
      <c r="K14" s="75">
        <f>+Zal_1_WPF_wg_przeplywow!K13</f>
        <v>70728739</v>
      </c>
    </row>
    <row r="15" spans="1:11" ht="24">
      <c r="A15" s="69"/>
      <c r="B15" s="76" t="s">
        <v>154</v>
      </c>
      <c r="C15" s="75">
        <f>+Zal_1_WPF_wg_przeplywow!C19</f>
        <v>450647</v>
      </c>
      <c r="D15" s="75">
        <f>+Zal_1_WPF_wg_przeplywow!D19</f>
        <v>201504</v>
      </c>
      <c r="E15" s="75">
        <f>+Zal_1_WPF_wg_przeplywow!E19</f>
        <v>0</v>
      </c>
      <c r="F15" s="75">
        <f>+Zal_1_WPF_wg_przeplywow!F19</f>
        <v>0</v>
      </c>
      <c r="G15" s="75">
        <f>+Zal_1_WPF_wg_przeplywow!G19</f>
        <v>0</v>
      </c>
      <c r="H15" s="75">
        <f>+Zal_1_WPF_wg_przeplywow!H19</f>
        <v>0</v>
      </c>
      <c r="I15" s="75">
        <f>+Zal_1_WPF_wg_przeplywow!I19</f>
        <v>0</v>
      </c>
      <c r="J15" s="75">
        <f>+Zal_1_WPF_wg_przeplywow!J19</f>
        <v>0</v>
      </c>
      <c r="K15" s="75">
        <f>+Zal_1_WPF_wg_przeplywow!K19</f>
        <v>0</v>
      </c>
    </row>
    <row r="16" spans="1:11" ht="12">
      <c r="A16" s="69"/>
      <c r="B16" s="76" t="s">
        <v>164</v>
      </c>
      <c r="C16" s="71">
        <f>+Zal_1_WPF_wg_przeplywow!C16</f>
        <v>0</v>
      </c>
      <c r="D16" s="71">
        <f>+Zal_1_WPF_wg_przeplywow!D16</f>
        <v>0</v>
      </c>
      <c r="E16" s="71">
        <f>+Zal_1_WPF_wg_przeplywow!E16</f>
        <v>0</v>
      </c>
      <c r="F16" s="71">
        <f>+Zal_1_WPF_wg_przeplywow!F16</f>
        <v>0</v>
      </c>
      <c r="G16" s="71">
        <f>+Zal_1_WPF_wg_przeplywow!G16</f>
        <v>0</v>
      </c>
      <c r="H16" s="71">
        <f>+Zal_1_WPF_wg_przeplywow!H16</f>
        <v>0</v>
      </c>
      <c r="I16" s="71">
        <f>+Zal_1_WPF_wg_przeplywow!I16</f>
        <v>0</v>
      </c>
      <c r="J16" s="71">
        <f>+Zal_1_WPF_wg_przeplywow!J16</f>
        <v>0</v>
      </c>
      <c r="K16" s="71">
        <f>+Zal_1_WPF_wg_przeplywow!K16</f>
        <v>0</v>
      </c>
    </row>
    <row r="17" spans="1:11" ht="24">
      <c r="A17" s="69"/>
      <c r="B17" s="77" t="s">
        <v>165</v>
      </c>
      <c r="C17" s="71">
        <f>+Zal_1_WPF_wg_przeplywow!C17</f>
        <v>0</v>
      </c>
      <c r="D17" s="71">
        <f>+Zal_1_WPF_wg_przeplywow!D17</f>
        <v>0</v>
      </c>
      <c r="E17" s="71">
        <f>+Zal_1_WPF_wg_przeplywow!E17</f>
        <v>0</v>
      </c>
      <c r="F17" s="71">
        <f>+Zal_1_WPF_wg_przeplywow!F17</f>
        <v>0</v>
      </c>
      <c r="G17" s="71">
        <f>+Zal_1_WPF_wg_przeplywow!G17</f>
        <v>0</v>
      </c>
      <c r="H17" s="71">
        <f>+Zal_1_WPF_wg_przeplywow!H17</f>
        <v>0</v>
      </c>
      <c r="I17" s="71">
        <f>+Zal_1_WPF_wg_przeplywow!I17</f>
        <v>0</v>
      </c>
      <c r="J17" s="71">
        <f>+Zal_1_WPF_wg_przeplywow!J17</f>
        <v>0</v>
      </c>
      <c r="K17" s="71">
        <f>+Zal_1_WPF_wg_przeplywow!K17</f>
        <v>0</v>
      </c>
    </row>
    <row r="18" spans="1:11" ht="12">
      <c r="A18" s="74"/>
      <c r="B18" s="76" t="s">
        <v>13</v>
      </c>
      <c r="C18" s="71">
        <f>+Zal_1_WPF_wg_przeplywow!C29</f>
        <v>1550000</v>
      </c>
      <c r="D18" s="71">
        <f>+Zal_1_WPF_wg_przeplywow!D29</f>
        <v>1003500</v>
      </c>
      <c r="E18" s="71">
        <f>+Zal_1_WPF_wg_przeplywow!E29</f>
        <v>824500</v>
      </c>
      <c r="F18" s="71">
        <f>+Zal_1_WPF_wg_przeplywow!F29</f>
        <v>658000</v>
      </c>
      <c r="G18" s="71">
        <f>+Zal_1_WPF_wg_przeplywow!G29</f>
        <v>489000</v>
      </c>
      <c r="H18" s="71">
        <f>+Zal_1_WPF_wg_przeplywow!H29</f>
        <v>384000</v>
      </c>
      <c r="I18" s="71">
        <f>+Zal_1_WPF_wg_przeplywow!I29</f>
        <v>281000</v>
      </c>
      <c r="J18" s="71">
        <f>+Zal_1_WPF_wg_przeplywow!J29</f>
        <v>172000</v>
      </c>
      <c r="K18" s="71">
        <f>+Zal_1_WPF_wg_przeplywow!K29</f>
        <v>71000</v>
      </c>
    </row>
    <row r="19" spans="1:11" ht="12">
      <c r="A19" s="74"/>
      <c r="B19" s="77" t="s">
        <v>166</v>
      </c>
      <c r="C19" s="71">
        <f>+Zal_1_WPF_wg_przeplywow!C30</f>
        <v>1550000</v>
      </c>
      <c r="D19" s="71">
        <f>+Zal_1_WPF_wg_przeplywow!D30</f>
        <v>1003500</v>
      </c>
      <c r="E19" s="71">
        <f>+Zal_1_WPF_wg_przeplywow!E30</f>
        <v>824500</v>
      </c>
      <c r="F19" s="71">
        <f>+Zal_1_WPF_wg_przeplywow!F30</f>
        <v>658000</v>
      </c>
      <c r="G19" s="71">
        <f>+Zal_1_WPF_wg_przeplywow!G30</f>
        <v>489000</v>
      </c>
      <c r="H19" s="71">
        <f>+Zal_1_WPF_wg_przeplywow!H30</f>
        <v>384000</v>
      </c>
      <c r="I19" s="71">
        <f>+Zal_1_WPF_wg_przeplywow!I30</f>
        <v>281000</v>
      </c>
      <c r="J19" s="71">
        <f>+Zal_1_WPF_wg_przeplywow!J30</f>
        <v>172000</v>
      </c>
      <c r="K19" s="71">
        <f>+Zal_1_WPF_wg_przeplywow!K30</f>
        <v>71000</v>
      </c>
    </row>
    <row r="20" spans="1:11" ht="12">
      <c r="A20" s="74"/>
      <c r="B20" s="70" t="s">
        <v>47</v>
      </c>
      <c r="C20" s="75">
        <f>+Zal_1_WPF_wg_przeplywow!C33</f>
        <v>1352906</v>
      </c>
      <c r="D20" s="75">
        <f>+Zal_1_WPF_wg_przeplywow!D33</f>
        <v>3434023</v>
      </c>
      <c r="E20" s="75">
        <f>+Zal_1_WPF_wg_przeplywow!E33</f>
        <v>2826165</v>
      </c>
      <c r="F20" s="75">
        <f>+Zal_1_WPF_wg_przeplywow!F33</f>
        <v>2046760</v>
      </c>
      <c r="G20" s="75">
        <f>+Zal_1_WPF_wg_przeplywow!G33</f>
        <v>3913246</v>
      </c>
      <c r="H20" s="75">
        <f>+Zal_1_WPF_wg_przeplywow!H33</f>
        <v>6211022</v>
      </c>
      <c r="I20" s="75">
        <f>+Zal_1_WPF_wg_przeplywow!I33</f>
        <v>6754064</v>
      </c>
      <c r="J20" s="75">
        <f>+Zal_1_WPF_wg_przeplywow!J33</f>
        <v>7852428</v>
      </c>
      <c r="K20" s="75">
        <f>+Zal_1_WPF_wg_przeplywow!K33</f>
        <v>9492249</v>
      </c>
    </row>
    <row r="21" spans="1:11" ht="24">
      <c r="A21" s="87"/>
      <c r="B21" s="86" t="s">
        <v>89</v>
      </c>
      <c r="C21" s="88">
        <f>+Zal_1_WPF_wg_przeplywow!C35</f>
        <v>0</v>
      </c>
      <c r="D21" s="88">
        <f>+Zal_1_WPF_wg_przeplywow!D35</f>
        <v>0</v>
      </c>
      <c r="E21" s="88">
        <f>+Zal_1_WPF_wg_przeplywow!E35</f>
        <v>0</v>
      </c>
      <c r="F21" s="88">
        <f>+Zal_1_WPF_wg_przeplywow!F35</f>
        <v>0</v>
      </c>
      <c r="G21" s="88">
        <f>+Zal_1_WPF_wg_przeplywow!G35</f>
        <v>0</v>
      </c>
      <c r="H21" s="88">
        <f>+Zal_1_WPF_wg_przeplywow!H35</f>
        <v>0</v>
      </c>
      <c r="I21" s="88">
        <f>+Zal_1_WPF_wg_przeplywow!I35</f>
        <v>0</v>
      </c>
      <c r="J21" s="88">
        <f>+Zal_1_WPF_wg_przeplywow!J35</f>
        <v>0</v>
      </c>
      <c r="K21" s="88">
        <f>+Zal_1_WPF_wg_przeplywow!K35</f>
        <v>0</v>
      </c>
    </row>
    <row r="22" spans="1:11" ht="12">
      <c r="A22" s="62" t="s">
        <v>7</v>
      </c>
      <c r="B22" s="63" t="s">
        <v>48</v>
      </c>
      <c r="C22" s="58">
        <f>+C6-C12</f>
        <v>875866</v>
      </c>
      <c r="D22" s="58">
        <f aca="true" t="shared" si="3" ref="D22:K22">+D6-D12</f>
        <v>3048000</v>
      </c>
      <c r="E22" s="58">
        <f t="shared" si="3"/>
        <v>2398000</v>
      </c>
      <c r="F22" s="58">
        <f t="shared" si="3"/>
        <v>3648000</v>
      </c>
      <c r="G22" s="58">
        <f t="shared" si="3"/>
        <v>2798000</v>
      </c>
      <c r="H22" s="58">
        <f t="shared" si="3"/>
        <v>1498000</v>
      </c>
      <c r="I22" s="58">
        <f t="shared" si="3"/>
        <v>1998000</v>
      </c>
      <c r="J22" s="58">
        <f t="shared" si="3"/>
        <v>1998000</v>
      </c>
      <c r="K22" s="58">
        <f t="shared" si="3"/>
        <v>1500000</v>
      </c>
    </row>
    <row r="23" spans="1:11" s="44" customFormat="1" ht="12">
      <c r="A23" s="179" t="s">
        <v>8</v>
      </c>
      <c r="B23" s="180" t="s">
        <v>49</v>
      </c>
      <c r="C23" s="68">
        <f>+C7-C13</f>
        <v>-1291228</v>
      </c>
      <c r="D23" s="68">
        <f aca="true" t="shared" si="4" ref="D23:K23">+D7-D13</f>
        <v>4282023</v>
      </c>
      <c r="E23" s="68">
        <f t="shared" si="4"/>
        <v>4724165</v>
      </c>
      <c r="F23" s="68">
        <f t="shared" si="4"/>
        <v>5694760</v>
      </c>
      <c r="G23" s="68">
        <f t="shared" si="4"/>
        <v>6711246</v>
      </c>
      <c r="H23" s="68">
        <f t="shared" si="4"/>
        <v>7709022</v>
      </c>
      <c r="I23" s="68">
        <f t="shared" si="4"/>
        <v>8752064</v>
      </c>
      <c r="J23" s="68">
        <f t="shared" si="4"/>
        <v>9850428</v>
      </c>
      <c r="K23" s="68">
        <f t="shared" si="4"/>
        <v>10992249</v>
      </c>
    </row>
    <row r="24" spans="1:11" s="44" customFormat="1" ht="12">
      <c r="A24" s="181"/>
      <c r="B24" s="182" t="s">
        <v>193</v>
      </c>
      <c r="C24" s="88">
        <f>+C9-C20</f>
        <v>2167094</v>
      </c>
      <c r="D24" s="88">
        <f aca="true" t="shared" si="5" ref="D24:K24">+D9-D20</f>
        <v>-1234023</v>
      </c>
      <c r="E24" s="88">
        <f t="shared" si="5"/>
        <v>-2326165</v>
      </c>
      <c r="F24" s="88">
        <f t="shared" si="5"/>
        <v>-2046760</v>
      </c>
      <c r="G24" s="88">
        <f t="shared" si="5"/>
        <v>-3913246</v>
      </c>
      <c r="H24" s="88">
        <f t="shared" si="5"/>
        <v>-6211022</v>
      </c>
      <c r="I24" s="88">
        <f t="shared" si="5"/>
        <v>-6754064</v>
      </c>
      <c r="J24" s="88">
        <f t="shared" si="5"/>
        <v>-7852428</v>
      </c>
      <c r="K24" s="88">
        <f t="shared" si="5"/>
        <v>-9492249</v>
      </c>
    </row>
    <row r="25" spans="1:11" ht="12">
      <c r="A25" s="66" t="s">
        <v>9</v>
      </c>
      <c r="B25" s="67" t="s">
        <v>50</v>
      </c>
      <c r="C25" s="68">
        <f>+C26+C28+C30</f>
        <v>2128239</v>
      </c>
      <c r="D25" s="68">
        <f aca="true" t="shared" si="6" ref="D25:K25">+D26+D28+D30</f>
        <v>0</v>
      </c>
      <c r="E25" s="68">
        <f t="shared" si="6"/>
        <v>0</v>
      </c>
      <c r="F25" s="68">
        <f t="shared" si="6"/>
        <v>0</v>
      </c>
      <c r="G25" s="68">
        <f t="shared" si="6"/>
        <v>0</v>
      </c>
      <c r="H25" s="68">
        <f t="shared" si="6"/>
        <v>0</v>
      </c>
      <c r="I25" s="68">
        <f t="shared" si="6"/>
        <v>0</v>
      </c>
      <c r="J25" s="68">
        <f t="shared" si="6"/>
        <v>0</v>
      </c>
      <c r="K25" s="68">
        <f t="shared" si="6"/>
        <v>0</v>
      </c>
    </row>
    <row r="26" spans="1:11" ht="36">
      <c r="A26" s="69"/>
      <c r="B26" s="70" t="s">
        <v>60</v>
      </c>
      <c r="C26" s="75">
        <f>+Zal_1_WPF_wg_przeplywow!C21</f>
        <v>2128239</v>
      </c>
      <c r="D26" s="75">
        <f>+Zal_1_WPF_wg_przeplywow!D21</f>
        <v>0</v>
      </c>
      <c r="E26" s="75">
        <f>+Zal_1_WPF_wg_przeplywow!E21</f>
        <v>0</v>
      </c>
      <c r="F26" s="75">
        <f>+Zal_1_WPF_wg_przeplywow!F21</f>
        <v>0</v>
      </c>
      <c r="G26" s="75">
        <f>+Zal_1_WPF_wg_przeplywow!G21</f>
        <v>0</v>
      </c>
      <c r="H26" s="75">
        <f>+Zal_1_WPF_wg_przeplywow!H21</f>
        <v>0</v>
      </c>
      <c r="I26" s="75">
        <f>+Zal_1_WPF_wg_przeplywow!I21</f>
        <v>0</v>
      </c>
      <c r="J26" s="75">
        <f>+Zal_1_WPF_wg_przeplywow!J21</f>
        <v>0</v>
      </c>
      <c r="K26" s="75">
        <f>+Zal_1_WPF_wg_przeplywow!K21</f>
        <v>0</v>
      </c>
    </row>
    <row r="27" spans="1:11" ht="12">
      <c r="A27" s="69"/>
      <c r="B27" s="78" t="s">
        <v>61</v>
      </c>
      <c r="C27" s="71">
        <f>+Zal_1_WPF_wg_przeplywow!C22</f>
        <v>0</v>
      </c>
      <c r="D27" s="71">
        <f>+Zal_1_WPF_wg_przeplywow!D22</f>
        <v>0</v>
      </c>
      <c r="E27" s="71">
        <f>+Zal_1_WPF_wg_przeplywow!E22</f>
        <v>0</v>
      </c>
      <c r="F27" s="71">
        <f>+Zal_1_WPF_wg_przeplywow!F22</f>
        <v>0</v>
      </c>
      <c r="G27" s="71">
        <f>+Zal_1_WPF_wg_przeplywow!G22</f>
        <v>0</v>
      </c>
      <c r="H27" s="71">
        <f>+Zal_1_WPF_wg_przeplywow!H22</f>
        <v>0</v>
      </c>
      <c r="I27" s="71">
        <f>+Zal_1_WPF_wg_przeplywow!I22</f>
        <v>0</v>
      </c>
      <c r="J27" s="71">
        <f>+Zal_1_WPF_wg_przeplywow!J22</f>
        <v>0</v>
      </c>
      <c r="K27" s="71">
        <f>+Zal_1_WPF_wg_przeplywow!K22</f>
        <v>0</v>
      </c>
    </row>
    <row r="28" spans="1:11" ht="12">
      <c r="A28" s="69"/>
      <c r="B28" s="70" t="s">
        <v>62</v>
      </c>
      <c r="C28" s="75">
        <f>+Zal_1_WPF_wg_przeplywow!C36</f>
        <v>0</v>
      </c>
      <c r="D28" s="75">
        <f>+Zal_1_WPF_wg_przeplywow!D36</f>
        <v>0</v>
      </c>
      <c r="E28" s="75">
        <f>+Zal_1_WPF_wg_przeplywow!E36</f>
        <v>0</v>
      </c>
      <c r="F28" s="75">
        <f>+Zal_1_WPF_wg_przeplywow!F36</f>
        <v>0</v>
      </c>
      <c r="G28" s="75">
        <f>+Zal_1_WPF_wg_przeplywow!G36</f>
        <v>0</v>
      </c>
      <c r="H28" s="75">
        <f>+Zal_1_WPF_wg_przeplywow!H36</f>
        <v>0</v>
      </c>
      <c r="I28" s="75">
        <f>+Zal_1_WPF_wg_przeplywow!I36</f>
        <v>0</v>
      </c>
      <c r="J28" s="75">
        <f>+Zal_1_WPF_wg_przeplywow!J36</f>
        <v>0</v>
      </c>
      <c r="K28" s="75">
        <f>+Zal_1_WPF_wg_przeplywow!K36</f>
        <v>0</v>
      </c>
    </row>
    <row r="29" spans="1:11" ht="12">
      <c r="A29" s="69"/>
      <c r="B29" s="72" t="s">
        <v>63</v>
      </c>
      <c r="C29" s="75">
        <f>+Zal_1_WPF_wg_przeplywow!C37</f>
        <v>0</v>
      </c>
      <c r="D29" s="75">
        <f>+Zal_1_WPF_wg_przeplywow!D37</f>
        <v>0</v>
      </c>
      <c r="E29" s="75">
        <f>+Zal_1_WPF_wg_przeplywow!E37</f>
        <v>0</v>
      </c>
      <c r="F29" s="75">
        <f>+Zal_1_WPF_wg_przeplywow!F37</f>
        <v>0</v>
      </c>
      <c r="G29" s="75">
        <f>+Zal_1_WPF_wg_przeplywow!G37</f>
        <v>0</v>
      </c>
      <c r="H29" s="75">
        <f>+Zal_1_WPF_wg_przeplywow!H37</f>
        <v>0</v>
      </c>
      <c r="I29" s="75">
        <f>+Zal_1_WPF_wg_przeplywow!I37</f>
        <v>0</v>
      </c>
      <c r="J29" s="75">
        <f>+Zal_1_WPF_wg_przeplywow!J37</f>
        <v>0</v>
      </c>
      <c r="K29" s="75">
        <f>+Zal_1_WPF_wg_przeplywow!K37</f>
        <v>0</v>
      </c>
    </row>
    <row r="30" spans="1:11" ht="12">
      <c r="A30" s="69"/>
      <c r="B30" s="70" t="s">
        <v>51</v>
      </c>
      <c r="C30" s="75">
        <f>+Zal_1_WPF_wg_przeplywow!C23</f>
        <v>0</v>
      </c>
      <c r="D30" s="75">
        <f>+Zal_1_WPF_wg_przeplywow!D23</f>
        <v>0</v>
      </c>
      <c r="E30" s="75">
        <f>+Zal_1_WPF_wg_przeplywow!E23</f>
        <v>0</v>
      </c>
      <c r="F30" s="75">
        <f>+Zal_1_WPF_wg_przeplywow!F23</f>
        <v>0</v>
      </c>
      <c r="G30" s="75">
        <f>+Zal_1_WPF_wg_przeplywow!G23</f>
        <v>0</v>
      </c>
      <c r="H30" s="75">
        <f>+Zal_1_WPF_wg_przeplywow!H23</f>
        <v>0</v>
      </c>
      <c r="I30" s="75">
        <f>+Zal_1_WPF_wg_przeplywow!I23</f>
        <v>0</v>
      </c>
      <c r="J30" s="75">
        <f>+Zal_1_WPF_wg_przeplywow!J23</f>
        <v>0</v>
      </c>
      <c r="K30" s="75">
        <f>+Zal_1_WPF_wg_przeplywow!K23</f>
        <v>0</v>
      </c>
    </row>
    <row r="31" spans="1:11" ht="12">
      <c r="A31" s="83"/>
      <c r="B31" s="86" t="s">
        <v>63</v>
      </c>
      <c r="C31" s="88">
        <f>+Zal_1_WPF_wg_przeplywow!C24</f>
        <v>0</v>
      </c>
      <c r="D31" s="88">
        <f>+Zal_1_WPF_wg_przeplywow!D24</f>
        <v>0</v>
      </c>
      <c r="E31" s="88">
        <f>+Zal_1_WPF_wg_przeplywow!E24</f>
        <v>0</v>
      </c>
      <c r="F31" s="88">
        <f>+Zal_1_WPF_wg_przeplywow!F24</f>
        <v>0</v>
      </c>
      <c r="G31" s="88">
        <f>+Zal_1_WPF_wg_przeplywow!G24</f>
        <v>0</v>
      </c>
      <c r="H31" s="88">
        <f>+Zal_1_WPF_wg_przeplywow!H24</f>
        <v>0</v>
      </c>
      <c r="I31" s="88">
        <f>+Zal_1_WPF_wg_przeplywow!I24</f>
        <v>0</v>
      </c>
      <c r="J31" s="88">
        <f>+Zal_1_WPF_wg_przeplywow!J24</f>
        <v>0</v>
      </c>
      <c r="K31" s="88">
        <f>+Zal_1_WPF_wg_przeplywow!K24</f>
        <v>0</v>
      </c>
    </row>
    <row r="32" spans="1:11" ht="12">
      <c r="A32" s="66" t="s">
        <v>10</v>
      </c>
      <c r="B32" s="67" t="s">
        <v>52</v>
      </c>
      <c r="C32" s="68">
        <f>+C33+C35</f>
        <v>3004105</v>
      </c>
      <c r="D32" s="68">
        <f aca="true" t="shared" si="7" ref="D32:K32">+D33+D35</f>
        <v>3048000</v>
      </c>
      <c r="E32" s="68">
        <f t="shared" si="7"/>
        <v>2398000</v>
      </c>
      <c r="F32" s="68">
        <f t="shared" si="7"/>
        <v>3648000</v>
      </c>
      <c r="G32" s="68">
        <f t="shared" si="7"/>
        <v>2798000</v>
      </c>
      <c r="H32" s="68">
        <f t="shared" si="7"/>
        <v>1498000</v>
      </c>
      <c r="I32" s="68">
        <f t="shared" si="7"/>
        <v>1998000</v>
      </c>
      <c r="J32" s="68">
        <f t="shared" si="7"/>
        <v>1998000</v>
      </c>
      <c r="K32" s="68">
        <f t="shared" si="7"/>
        <v>1500000</v>
      </c>
    </row>
    <row r="33" spans="1:11" ht="12">
      <c r="A33" s="69"/>
      <c r="B33" s="70" t="s">
        <v>64</v>
      </c>
      <c r="C33" s="71">
        <f>+Zal_1_WPF_wg_przeplywow!C27</f>
        <v>3004105</v>
      </c>
      <c r="D33" s="71">
        <f>+Zal_1_WPF_wg_przeplywow!D27</f>
        <v>3048000</v>
      </c>
      <c r="E33" s="71">
        <f>+Zal_1_WPF_wg_przeplywow!E27</f>
        <v>2398000</v>
      </c>
      <c r="F33" s="71">
        <f>+Zal_1_WPF_wg_przeplywow!F27</f>
        <v>3648000</v>
      </c>
      <c r="G33" s="71">
        <f>+Zal_1_WPF_wg_przeplywow!G27</f>
        <v>2798000</v>
      </c>
      <c r="H33" s="71">
        <f>+Zal_1_WPF_wg_przeplywow!H27</f>
        <v>1498000</v>
      </c>
      <c r="I33" s="71">
        <f>+Zal_1_WPF_wg_przeplywow!I27</f>
        <v>1998000</v>
      </c>
      <c r="J33" s="71">
        <f>+Zal_1_WPF_wg_przeplywow!J27</f>
        <v>1998000</v>
      </c>
      <c r="K33" s="71">
        <f>+Zal_1_WPF_wg_przeplywow!K27</f>
        <v>1500000</v>
      </c>
    </row>
    <row r="34" spans="1:11" ht="24">
      <c r="A34" s="69"/>
      <c r="B34" s="72" t="s">
        <v>65</v>
      </c>
      <c r="C34" s="71">
        <f>+Zal_1_WPF_wg_przeplywow!C28</f>
        <v>0</v>
      </c>
      <c r="D34" s="71">
        <f>+Zal_1_WPF_wg_przeplywow!D28</f>
        <v>0</v>
      </c>
      <c r="E34" s="71">
        <f>+Zal_1_WPF_wg_przeplywow!E28</f>
        <v>0</v>
      </c>
      <c r="F34" s="71">
        <f>+Zal_1_WPF_wg_przeplywow!F28</f>
        <v>0</v>
      </c>
      <c r="G34" s="71">
        <f>+Zal_1_WPF_wg_przeplywow!G28</f>
        <v>0</v>
      </c>
      <c r="H34" s="71">
        <f>+Zal_1_WPF_wg_przeplywow!H28</f>
        <v>0</v>
      </c>
      <c r="I34" s="71">
        <f>+Zal_1_WPF_wg_przeplywow!I28</f>
        <v>0</v>
      </c>
      <c r="J34" s="71">
        <f>+Zal_1_WPF_wg_przeplywow!J28</f>
        <v>0</v>
      </c>
      <c r="K34" s="71">
        <f>+Zal_1_WPF_wg_przeplywow!K28</f>
        <v>0</v>
      </c>
    </row>
    <row r="35" spans="1:11" ht="12.75" thickBot="1">
      <c r="A35" s="83"/>
      <c r="B35" s="84" t="s">
        <v>15</v>
      </c>
      <c r="C35" s="88">
        <f>+Zal_1_WPF_wg_przeplywow!C31</f>
        <v>0</v>
      </c>
      <c r="D35" s="88">
        <f>+Zal_1_WPF_wg_przeplywow!D31</f>
        <v>0</v>
      </c>
      <c r="E35" s="88">
        <f>+Zal_1_WPF_wg_przeplywow!E31</f>
        <v>0</v>
      </c>
      <c r="F35" s="88">
        <f>+Zal_1_WPF_wg_przeplywow!F31</f>
        <v>0</v>
      </c>
      <c r="G35" s="88">
        <f>+Zal_1_WPF_wg_przeplywow!G31</f>
        <v>0</v>
      </c>
      <c r="H35" s="88">
        <f>+Zal_1_WPF_wg_przeplywow!H31</f>
        <v>0</v>
      </c>
      <c r="I35" s="88">
        <f>+Zal_1_WPF_wg_przeplywow!I31</f>
        <v>0</v>
      </c>
      <c r="J35" s="88">
        <f>+Zal_1_WPF_wg_przeplywow!J31</f>
        <v>0</v>
      </c>
      <c r="K35" s="88">
        <f>+Zal_1_WPF_wg_przeplywow!K31</f>
        <v>0</v>
      </c>
    </row>
    <row r="36" spans="1:216" s="30" customFormat="1" ht="12">
      <c r="A36" s="66" t="s">
        <v>11</v>
      </c>
      <c r="B36" s="67" t="s">
        <v>66</v>
      </c>
      <c r="C36" s="68">
        <f>+Zal_1_WPF_wg_przeplywow!C39</f>
        <v>19464000</v>
      </c>
      <c r="D36" s="68">
        <f>+Zal_1_WPF_wg_przeplywow!D39</f>
        <v>16240000</v>
      </c>
      <c r="E36" s="68">
        <f>+Zal_1_WPF_wg_przeplywow!E39</f>
        <v>13675000</v>
      </c>
      <c r="F36" s="68">
        <f>+Zal_1_WPF_wg_przeplywow!F39</f>
        <v>9868000</v>
      </c>
      <c r="G36" s="68">
        <f>+Zal_1_WPF_wg_przeplywow!G39</f>
        <v>6994000</v>
      </c>
      <c r="H36" s="68">
        <f>+Zal_1_WPF_wg_przeplywow!H39</f>
        <v>5496000</v>
      </c>
      <c r="I36" s="68">
        <f>+Zal_1_WPF_wg_przeplywow!I39</f>
        <v>3498000</v>
      </c>
      <c r="J36" s="68">
        <f>+Zal_1_WPF_wg_przeplywow!J39</f>
        <v>1500000</v>
      </c>
      <c r="K36" s="68">
        <f>+Zal_1_WPF_wg_przeplywow!K39</f>
        <v>0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</row>
    <row r="37" spans="1:11" s="4" customFormat="1" ht="24">
      <c r="A37" s="87"/>
      <c r="B37" s="84" t="s">
        <v>67</v>
      </c>
      <c r="C37" s="88">
        <f>+Zal_1_WPF_wg_przeplywow!C40</f>
        <v>578000</v>
      </c>
      <c r="D37" s="88">
        <f>+Zal_1_WPF_wg_przeplywow!D40</f>
        <v>402000</v>
      </c>
      <c r="E37" s="88">
        <f>+Zal_1_WPF_wg_przeplywow!E40</f>
        <v>235000</v>
      </c>
      <c r="F37" s="88">
        <f>+Zal_1_WPF_wg_przeplywow!F40</f>
        <v>76000</v>
      </c>
      <c r="G37" s="88">
        <f>+Zal_1_WPF_wg_przeplywow!G40</f>
        <v>0</v>
      </c>
      <c r="H37" s="88">
        <f>+Zal_1_WPF_wg_przeplywow!H40</f>
        <v>0</v>
      </c>
      <c r="I37" s="88">
        <f>+Zal_1_WPF_wg_przeplywow!I40</f>
        <v>0</v>
      </c>
      <c r="J37" s="88">
        <f>+Zal_1_WPF_wg_przeplywow!J40</f>
        <v>0</v>
      </c>
      <c r="K37" s="88">
        <f>+Zal_1_WPF_wg_przeplywow!K40</f>
        <v>0</v>
      </c>
    </row>
    <row r="38" spans="1:11" ht="12">
      <c r="A38" s="62" t="s">
        <v>14</v>
      </c>
      <c r="B38" s="63" t="s">
        <v>68</v>
      </c>
      <c r="C38" s="57">
        <f>+Zal_1_WPF_wg_przeplywow!C41</f>
        <v>0</v>
      </c>
      <c r="D38" s="57">
        <f>+Zal_1_WPF_wg_przeplywow!D41</f>
        <v>0</v>
      </c>
      <c r="E38" s="57">
        <f>+Zal_1_WPF_wg_przeplywow!E41</f>
        <v>0</v>
      </c>
      <c r="F38" s="57">
        <f>+Zal_1_WPF_wg_przeplywow!F41</f>
        <v>0</v>
      </c>
      <c r="G38" s="57">
        <f>+Zal_1_WPF_wg_przeplywow!G41</f>
        <v>0</v>
      </c>
      <c r="H38" s="57">
        <f>+Zal_1_WPF_wg_przeplywow!H41</f>
        <v>0</v>
      </c>
      <c r="I38" s="57">
        <f>+Zal_1_WPF_wg_przeplywow!I41</f>
        <v>0</v>
      </c>
      <c r="J38" s="57">
        <f>+Zal_1_WPF_wg_przeplywow!J41</f>
        <v>0</v>
      </c>
      <c r="K38" s="57">
        <f>+Zal_1_WPF_wg_przeplywow!K41</f>
        <v>0</v>
      </c>
    </row>
    <row r="39" spans="1:11" ht="24">
      <c r="A39" s="66" t="s">
        <v>16</v>
      </c>
      <c r="B39" s="89" t="s">
        <v>69</v>
      </c>
      <c r="C39" s="90">
        <f>+Zal_1_WPF_wg_przeplywow!C46</f>
        <v>0.2785</v>
      </c>
      <c r="D39" s="90">
        <f>+Zal_1_WPF_wg_przeplywow!D46</f>
        <v>0.2443</v>
      </c>
      <c r="E39" s="90">
        <f aca="true" t="shared" si="8" ref="E39:K39">+IF(E6&lt;&gt;0,E36/E6,"")</f>
        <v>0.2039892845584885</v>
      </c>
      <c r="F39" s="90">
        <f t="shared" si="8"/>
        <v>0.1432914002696138</v>
      </c>
      <c r="G39" s="90">
        <f t="shared" si="8"/>
        <v>0.09812423060726244</v>
      </c>
      <c r="H39" s="90">
        <f t="shared" si="8"/>
        <v>0.07450012631539794</v>
      </c>
      <c r="I39" s="90">
        <f t="shared" si="8"/>
        <v>0.045813106414652145</v>
      </c>
      <c r="J39" s="90">
        <f t="shared" si="8"/>
        <v>0.018981076815468817</v>
      </c>
      <c r="K39" s="90">
        <f t="shared" si="8"/>
        <v>0</v>
      </c>
    </row>
    <row r="40" spans="1:11" ht="24">
      <c r="A40" s="74" t="s">
        <v>70</v>
      </c>
      <c r="B40" s="79" t="s">
        <v>71</v>
      </c>
      <c r="C40" s="80">
        <f>+Zal_1_WPF_wg_przeplywow!C47</f>
        <v>0.2785</v>
      </c>
      <c r="D40" s="80">
        <f>+Zal_1_WPF_wg_przeplywow!D47</f>
        <v>0.2443</v>
      </c>
      <c r="E40" s="80">
        <f aca="true" t="shared" si="9" ref="E40:K40">+IF(E6&lt;&gt;0,(E36-E38)/E6,"")</f>
        <v>0.2039892845584885</v>
      </c>
      <c r="F40" s="80">
        <f t="shared" si="9"/>
        <v>0.1432914002696138</v>
      </c>
      <c r="G40" s="80">
        <f t="shared" si="9"/>
        <v>0.09812423060726244</v>
      </c>
      <c r="H40" s="80">
        <f t="shared" si="9"/>
        <v>0.07450012631539794</v>
      </c>
      <c r="I40" s="80">
        <f t="shared" si="9"/>
        <v>0.045813106414652145</v>
      </c>
      <c r="J40" s="80">
        <f t="shared" si="9"/>
        <v>0.018981076815468817</v>
      </c>
      <c r="K40" s="80">
        <f t="shared" si="9"/>
        <v>0</v>
      </c>
    </row>
    <row r="41" spans="1:11" ht="24">
      <c r="A41" s="74" t="s">
        <v>17</v>
      </c>
      <c r="B41" s="79" t="s">
        <v>72</v>
      </c>
      <c r="C41" s="80">
        <f>+Zal_1_WPF_wg_przeplywow!C48</f>
        <v>0.0652</v>
      </c>
      <c r="D41" s="80">
        <f>+Zal_1_WPF_wg_przeplywow!D48</f>
        <v>0.0609</v>
      </c>
      <c r="E41" s="80">
        <f aca="true" t="shared" si="10" ref="E41:K41">+IF(E6&lt;&gt;0,(E19+E16+E33)/E6,"")</f>
        <v>0.048069869798152046</v>
      </c>
      <c r="F41" s="80">
        <f t="shared" si="10"/>
        <v>0.06252662845165757</v>
      </c>
      <c r="G41" s="80">
        <f t="shared" si="10"/>
        <v>0.04611586302631851</v>
      </c>
      <c r="H41" s="80">
        <f t="shared" si="10"/>
        <v>0.025511142235367344</v>
      </c>
      <c r="I41" s="80">
        <f t="shared" si="10"/>
        <v>0.029847932967121852</v>
      </c>
      <c r="J41" s="80">
        <f t="shared" si="10"/>
        <v>0.027459291126378224</v>
      </c>
      <c r="K41" s="80">
        <f t="shared" si="10"/>
        <v>0.019207260251456415</v>
      </c>
    </row>
    <row r="42" spans="1:11" ht="24">
      <c r="A42" s="87" t="s">
        <v>73</v>
      </c>
      <c r="B42" s="91" t="s">
        <v>74</v>
      </c>
      <c r="C42" s="92">
        <f>+Zal_1_WPF_wg_przeplywow!C49</f>
        <v>0.0652</v>
      </c>
      <c r="D42" s="92">
        <f>+Zal_1_WPF_wg_przeplywow!D49</f>
        <v>0.0609</v>
      </c>
      <c r="E42" s="92">
        <f aca="true" t="shared" si="11" ref="E42:K42">+IF(E6&lt;&gt;0,(E19+E16+E33-E17-E34)/E6,"")</f>
        <v>0.048069869798152046</v>
      </c>
      <c r="F42" s="92">
        <f t="shared" si="11"/>
        <v>0.06252662845165757</v>
      </c>
      <c r="G42" s="92">
        <f t="shared" si="11"/>
        <v>0.04611586302631851</v>
      </c>
      <c r="H42" s="92">
        <f t="shared" si="11"/>
        <v>0.025511142235367344</v>
      </c>
      <c r="I42" s="92">
        <f t="shared" si="11"/>
        <v>0.029847932967121852</v>
      </c>
      <c r="J42" s="92">
        <f t="shared" si="11"/>
        <v>0.027459291126378224</v>
      </c>
      <c r="K42" s="92">
        <f t="shared" si="11"/>
        <v>0.019207260251456415</v>
      </c>
    </row>
    <row r="43" spans="1:11" ht="36">
      <c r="A43" s="62" t="s">
        <v>19</v>
      </c>
      <c r="B43" s="63" t="s">
        <v>167</v>
      </c>
      <c r="C43" s="58">
        <f>+Zal_1_WPF_wg_przeplywow!C42</f>
        <v>0</v>
      </c>
      <c r="D43" s="58">
        <f>+Zal_1_WPF_wg_przeplywow!D42</f>
        <v>0</v>
      </c>
      <c r="E43" s="58">
        <f>+Zal_1_WPF_wg_przeplywow!E42</f>
        <v>0</v>
      </c>
      <c r="F43" s="58">
        <f>+Zal_1_WPF_wg_przeplywow!F42</f>
        <v>0</v>
      </c>
      <c r="G43" s="58">
        <f>+Zal_1_WPF_wg_przeplywow!G42</f>
        <v>0</v>
      </c>
      <c r="H43" s="58">
        <f>+Zal_1_WPF_wg_przeplywow!H42</f>
        <v>0</v>
      </c>
      <c r="I43" s="58">
        <f>+Zal_1_WPF_wg_przeplywow!I42</f>
        <v>0</v>
      </c>
      <c r="J43" s="58">
        <f>+Zal_1_WPF_wg_przeplywow!J42</f>
        <v>0</v>
      </c>
      <c r="K43" s="58">
        <f>+Zal_1_WPF_wg_przeplywow!K42</f>
        <v>0</v>
      </c>
    </row>
    <row r="44" spans="1:11" ht="12">
      <c r="A44" s="66" t="s">
        <v>20</v>
      </c>
      <c r="B44" s="89" t="s">
        <v>53</v>
      </c>
      <c r="C44" s="90">
        <f>+Zal_1_WPF_wg_przeplywow!C51</f>
        <v>0.0201</v>
      </c>
      <c r="D44" s="90">
        <f>+Zal_1_WPF_wg_przeplywow!D51</f>
        <v>0.0402</v>
      </c>
      <c r="E44" s="90">
        <f>+Zal_1_WPF_wg_przeplywow!E51</f>
        <v>0.0491</v>
      </c>
      <c r="F44" s="90">
        <f>+Zal_1_WPF_wg_przeplywow!F51</f>
        <v>0.0666</v>
      </c>
      <c r="G44" s="90">
        <f>+Zal_1_WPF_wg_przeplywow!G51</f>
        <v>0.086</v>
      </c>
      <c r="H44" s="90">
        <f>+Zal_1_WPF_wg_przeplywow!H51</f>
        <v>0.0849</v>
      </c>
      <c r="I44" s="90">
        <f>+Zal_1_WPF_wg_przeplywow!I51</f>
        <v>0.0938</v>
      </c>
      <c r="J44" s="90">
        <f>+Zal_1_WPF_wg_przeplywow!J51</f>
        <v>0.1044</v>
      </c>
      <c r="K44" s="90">
        <f>+Zal_1_WPF_wg_przeplywow!K51</f>
        <v>0.1146</v>
      </c>
    </row>
    <row r="45" spans="1:11" ht="12">
      <c r="A45" s="74"/>
      <c r="B45" s="81" t="s">
        <v>55</v>
      </c>
      <c r="C45" s="80">
        <f>+Zal_1_WPF_wg_przeplywow!C50</f>
        <v>0.0245</v>
      </c>
      <c r="D45" s="80">
        <f>+Zal_1_WPF_wg_przeplywow!D50</f>
        <v>0.0975</v>
      </c>
      <c r="E45" s="80">
        <f>+Zal_1_WPF_wg_przeplywow!E50</f>
        <v>0.0779</v>
      </c>
      <c r="F45" s="80">
        <f>+Zal_1_WPF_wg_przeplywow!F50</f>
        <v>0.0827</v>
      </c>
      <c r="G45" s="80">
        <f>+Zal_1_WPF_wg_przeplywow!G50</f>
        <v>0.0942</v>
      </c>
      <c r="H45" s="80">
        <f>+Zal_1_WPF_wg_przeplywow!H50</f>
        <v>0.1045</v>
      </c>
      <c r="I45" s="80">
        <f>+Zal_1_WPF_wg_przeplywow!I50</f>
        <v>0.1146</v>
      </c>
      <c r="J45" s="80">
        <f>+Zal_1_WPF_wg_przeplywow!J50</f>
        <v>0.1246</v>
      </c>
      <c r="K45" s="80">
        <f>+Zal_1_WPF_wg_przeplywow!K50</f>
        <v>0.1344</v>
      </c>
    </row>
    <row r="46" spans="1:11" ht="24">
      <c r="A46" s="74" t="s">
        <v>21</v>
      </c>
      <c r="B46" s="79" t="s">
        <v>54</v>
      </c>
      <c r="C46" s="80">
        <f>+Zal_1_WPF_wg_przeplywow!C52</f>
        <v>0.0652</v>
      </c>
      <c r="D46" s="80">
        <f>+Zal_1_WPF_wg_przeplywow!D52</f>
        <v>0.0609</v>
      </c>
      <c r="E46" s="80">
        <f>+Zal_1_WPF_wg_przeplywow!E52</f>
        <v>0.0481</v>
      </c>
      <c r="F46" s="80">
        <f>+Zal_1_WPF_wg_przeplywow!F52</f>
        <v>0.0625</v>
      </c>
      <c r="G46" s="80">
        <f>+Zal_1_WPF_wg_przeplywow!G52</f>
        <v>0.0461</v>
      </c>
      <c r="H46" s="80">
        <f>+Zal_1_WPF_wg_przeplywow!H52</f>
        <v>0.0255</v>
      </c>
      <c r="I46" s="80">
        <f>+Zal_1_WPF_wg_przeplywow!I52</f>
        <v>0.0298</v>
      </c>
      <c r="J46" s="80">
        <f>+Zal_1_WPF_wg_przeplywow!J52</f>
        <v>0.0275</v>
      </c>
      <c r="K46" s="80">
        <f>+Zal_1_WPF_wg_przeplywow!K52</f>
        <v>0.0192</v>
      </c>
    </row>
    <row r="47" spans="1:11" ht="24">
      <c r="A47" s="74" t="s">
        <v>75</v>
      </c>
      <c r="B47" s="79" t="s">
        <v>76</v>
      </c>
      <c r="C47" s="82" t="str">
        <f>IF(C46&lt;=C$44,"Spełnia  art. 243","Nie spełnia art. 243")</f>
        <v>Nie spełnia art. 243</v>
      </c>
      <c r="D47" s="82" t="str">
        <f aca="true" t="shared" si="12" ref="D47:K47">IF(D46&lt;=D$44,"Spełnia  art. 243","Nie spełnia art. 243")</f>
        <v>Nie spełnia art. 243</v>
      </c>
      <c r="E47" s="82" t="str">
        <f t="shared" si="12"/>
        <v>Spełnia  art. 243</v>
      </c>
      <c r="F47" s="82" t="str">
        <f t="shared" si="12"/>
        <v>Spełnia  art. 243</v>
      </c>
      <c r="G47" s="82" t="str">
        <f t="shared" si="12"/>
        <v>Spełnia  art. 243</v>
      </c>
      <c r="H47" s="82" t="str">
        <f t="shared" si="12"/>
        <v>Spełnia  art. 243</v>
      </c>
      <c r="I47" s="82" t="str">
        <f t="shared" si="12"/>
        <v>Spełnia  art. 243</v>
      </c>
      <c r="J47" s="82" t="str">
        <f t="shared" si="12"/>
        <v>Spełnia  art. 243</v>
      </c>
      <c r="K47" s="82" t="str">
        <f t="shared" si="12"/>
        <v>Spełnia  art. 243</v>
      </c>
    </row>
    <row r="48" spans="1:11" ht="24">
      <c r="A48" s="74" t="s">
        <v>22</v>
      </c>
      <c r="B48" s="79" t="s">
        <v>77</v>
      </c>
      <c r="C48" s="80">
        <f>+Zal_1_WPF_wg_przeplywow!C54</f>
        <v>0.0652</v>
      </c>
      <c r="D48" s="80">
        <f>+Zal_1_WPF_wg_przeplywow!D54</f>
        <v>0.0609</v>
      </c>
      <c r="E48" s="80">
        <f>+Zal_1_WPF_wg_przeplywow!E54</f>
        <v>0.0481</v>
      </c>
      <c r="F48" s="80">
        <f>+Zal_1_WPF_wg_przeplywow!F54</f>
        <v>0.0625</v>
      </c>
      <c r="G48" s="80">
        <f>+Zal_1_WPF_wg_przeplywow!G54</f>
        <v>0.0461</v>
      </c>
      <c r="H48" s="80">
        <f>+Zal_1_WPF_wg_przeplywow!H54</f>
        <v>0.0255</v>
      </c>
      <c r="I48" s="80">
        <f>+Zal_1_WPF_wg_przeplywow!I54</f>
        <v>0.0298</v>
      </c>
      <c r="J48" s="80">
        <f>+Zal_1_WPF_wg_przeplywow!J54</f>
        <v>0.0275</v>
      </c>
      <c r="K48" s="80">
        <f>+Zal_1_WPF_wg_przeplywow!K54</f>
        <v>0.0192</v>
      </c>
    </row>
    <row r="49" spans="1:11" ht="24">
      <c r="A49" s="87" t="s">
        <v>78</v>
      </c>
      <c r="B49" s="91" t="s">
        <v>79</v>
      </c>
      <c r="C49" s="82" t="str">
        <f>IF(C48&lt;=C$44,"Spełnia  art. 243","Nie spełnia art. 243")</f>
        <v>Nie spełnia art. 243</v>
      </c>
      <c r="D49" s="82" t="str">
        <f aca="true" t="shared" si="13" ref="D49:K49">IF(D48&lt;=D$44,"Spełnia  art. 243","Nie spełnia art. 243")</f>
        <v>Nie spełnia art. 243</v>
      </c>
      <c r="E49" s="82" t="str">
        <f t="shared" si="13"/>
        <v>Spełnia  art. 243</v>
      </c>
      <c r="F49" s="82" t="str">
        <f t="shared" si="13"/>
        <v>Spełnia  art. 243</v>
      </c>
      <c r="G49" s="82" t="str">
        <f t="shared" si="13"/>
        <v>Spełnia  art. 243</v>
      </c>
      <c r="H49" s="82" t="str">
        <f t="shared" si="13"/>
        <v>Spełnia  art. 243</v>
      </c>
      <c r="I49" s="82" t="str">
        <f t="shared" si="13"/>
        <v>Spełnia  art. 243</v>
      </c>
      <c r="J49" s="82" t="str">
        <f t="shared" si="13"/>
        <v>Spełnia  art. 243</v>
      </c>
      <c r="K49" s="82" t="str">
        <f t="shared" si="13"/>
        <v>Spełnia  art. 243</v>
      </c>
    </row>
    <row r="50" spans="1:11" ht="12">
      <c r="A50" s="66" t="s">
        <v>23</v>
      </c>
      <c r="B50" s="67" t="s">
        <v>80</v>
      </c>
      <c r="C50" s="93"/>
      <c r="D50" s="93"/>
      <c r="E50" s="93"/>
      <c r="F50" s="93"/>
      <c r="G50" s="93"/>
      <c r="H50" s="93"/>
      <c r="I50" s="93"/>
      <c r="J50" s="93"/>
      <c r="K50" s="93"/>
    </row>
    <row r="51" spans="1:11" ht="12">
      <c r="A51" s="69"/>
      <c r="B51" s="70" t="s">
        <v>4</v>
      </c>
      <c r="C51" s="71">
        <f>+Zal_1_WPF_wg_przeplywow!C14</f>
        <v>28381181</v>
      </c>
      <c r="D51" s="71">
        <f>+Zal_1_WPF_wg_przeplywow!D14</f>
        <v>29109540</v>
      </c>
      <c r="E51" s="71">
        <f>+Zal_1_WPF_wg_przeplywow!E14</f>
        <v>29749950</v>
      </c>
      <c r="F51" s="71">
        <f>+Zal_1_WPF_wg_przeplywow!F14</f>
        <v>30642448</v>
      </c>
      <c r="G51" s="71">
        <f>+Zal_1_WPF_wg_przeplywow!G14</f>
        <v>31561722</v>
      </c>
      <c r="H51" s="71">
        <f>+Zal_1_WPF_wg_przeplywow!H14</f>
        <v>32508574</v>
      </c>
      <c r="I51" s="71">
        <f>+Zal_1_WPF_wg_przeplywow!I14</f>
        <v>33483831</v>
      </c>
      <c r="J51" s="71">
        <f>+Zal_1_WPF_wg_przeplywow!J14</f>
        <v>34488346</v>
      </c>
      <c r="K51" s="71">
        <f>+Zal_1_WPF_wg_przeplywow!K14</f>
        <v>35522996</v>
      </c>
    </row>
    <row r="52" spans="1:11" ht="12">
      <c r="A52" s="69"/>
      <c r="B52" s="70" t="s">
        <v>5</v>
      </c>
      <c r="C52" s="71">
        <f>+Zal_1_WPF_wg_przeplywow!C15</f>
        <v>7392346</v>
      </c>
      <c r="D52" s="71">
        <f>+Zal_1_WPF_wg_przeplywow!D15</f>
        <v>7400000</v>
      </c>
      <c r="E52" s="71">
        <f>+Zal_1_WPF_wg_przeplywow!E15</f>
        <v>7400000</v>
      </c>
      <c r="F52" s="71">
        <f>+Zal_1_WPF_wg_przeplywow!F15</f>
        <v>7554605</v>
      </c>
      <c r="G52" s="71">
        <f>+Zal_1_WPF_wg_przeplywow!G15</f>
        <v>7705697</v>
      </c>
      <c r="H52" s="71">
        <f>+Zal_1_WPF_wg_przeplywow!H15</f>
        <v>7859811</v>
      </c>
      <c r="I52" s="71">
        <f>+Zal_1_WPF_wg_przeplywow!I15</f>
        <v>8017007</v>
      </c>
      <c r="J52" s="71">
        <f>+Zal_1_WPF_wg_przeplywow!J15</f>
        <v>8177347</v>
      </c>
      <c r="K52" s="71">
        <f>+Zal_1_WPF_wg_przeplywow!K15</f>
        <v>8340894</v>
      </c>
    </row>
    <row r="53" spans="1:11" ht="12">
      <c r="A53" s="69"/>
      <c r="B53" s="70" t="s">
        <v>81</v>
      </c>
      <c r="C53" s="71">
        <f>+Zal_1_WPF_wg_przeplywow!C18</f>
        <v>834652</v>
      </c>
      <c r="D53" s="71">
        <f>+Zal_1_WPF_wg_przeplywow!D18</f>
        <v>635185</v>
      </c>
      <c r="E53" s="71">
        <f>+Zal_1_WPF_wg_przeplywow!E18</f>
        <v>480533</v>
      </c>
      <c r="F53" s="71">
        <f>+Zal_1_WPF_wg_przeplywow!F18</f>
        <v>538539</v>
      </c>
      <c r="G53" s="71">
        <f>+Zal_1_WPF_wg_przeplywow!G18</f>
        <v>563910</v>
      </c>
      <c r="H53" s="71">
        <f>+Zal_1_WPF_wg_przeplywow!H18</f>
        <v>513344</v>
      </c>
      <c r="I53" s="71">
        <f>+Zal_1_WPF_wg_przeplywow!I18</f>
        <v>571899.02</v>
      </c>
      <c r="J53" s="71">
        <f>+Zal_1_WPF_wg_przeplywow!J18</f>
        <v>0</v>
      </c>
      <c r="K53" s="71">
        <f>+Zal_1_WPF_wg_przeplywow!K18</f>
        <v>0</v>
      </c>
    </row>
    <row r="54" spans="1:11" ht="12">
      <c r="A54" s="83"/>
      <c r="B54" s="84" t="s">
        <v>82</v>
      </c>
      <c r="C54" s="85">
        <f>+Zal_1_WPF_wg_przeplywow!C34</f>
        <v>0</v>
      </c>
      <c r="D54" s="85">
        <f>+Zal_1_WPF_wg_przeplywow!D34</f>
        <v>0</v>
      </c>
      <c r="E54" s="85">
        <f>+Zal_1_WPF_wg_przeplywow!E34</f>
        <v>0</v>
      </c>
      <c r="F54" s="85">
        <f>+Zal_1_WPF_wg_przeplywow!F34</f>
        <v>0</v>
      </c>
      <c r="G54" s="85">
        <f>+Zal_1_WPF_wg_przeplywow!G34</f>
        <v>0</v>
      </c>
      <c r="H54" s="85">
        <f>+Zal_1_WPF_wg_przeplywow!H34</f>
        <v>0</v>
      </c>
      <c r="I54" s="85">
        <f>+Zal_1_WPF_wg_przeplywow!I34</f>
        <v>0</v>
      </c>
      <c r="J54" s="85">
        <f>+Zal_1_WPF_wg_przeplywow!J34</f>
        <v>0</v>
      </c>
      <c r="K54" s="85">
        <f>+Zal_1_WPF_wg_przeplywow!K34</f>
        <v>0</v>
      </c>
    </row>
    <row r="55" spans="1:11" ht="24">
      <c r="A55" s="64" t="s">
        <v>24</v>
      </c>
      <c r="B55" s="65" t="s">
        <v>162</v>
      </c>
      <c r="C55" s="58">
        <f>+Zal_1_WPF_wg_przeplywow!C43</f>
        <v>875866</v>
      </c>
      <c r="D55" s="58">
        <f>+Zal_1_WPF_wg_przeplywow!D43</f>
        <v>3048000</v>
      </c>
      <c r="E55" s="58">
        <f>+Zal_1_WPF_wg_przeplywow!E43</f>
        <v>2398000</v>
      </c>
      <c r="F55" s="58">
        <f>+Zal_1_WPF_wg_przeplywow!F43</f>
        <v>3648000</v>
      </c>
      <c r="G55" s="58">
        <f>+Zal_1_WPF_wg_przeplywow!G43</f>
        <v>2798000</v>
      </c>
      <c r="H55" s="58">
        <f>+Zal_1_WPF_wg_przeplywow!H43</f>
        <v>1498000</v>
      </c>
      <c r="I55" s="58">
        <f>+Zal_1_WPF_wg_przeplywow!I43</f>
        <v>1998000</v>
      </c>
      <c r="J55" s="58">
        <f>+Zal_1_WPF_wg_przeplywow!J43</f>
        <v>1998000</v>
      </c>
      <c r="K55" s="58">
        <f>+Zal_1_WPF_wg_przeplywow!K43</f>
        <v>1500000</v>
      </c>
    </row>
    <row r="56" spans="1:11" ht="12">
      <c r="A56" s="66" t="s">
        <v>25</v>
      </c>
      <c r="B56" s="67" t="s">
        <v>91</v>
      </c>
      <c r="C56" s="94">
        <f>+Zal_1_WPF_wg_przeplywow!C44</f>
        <v>3101906</v>
      </c>
      <c r="D56" s="94">
        <f>+Zal_1_WPF_wg_przeplywow!D44</f>
        <v>2668225</v>
      </c>
      <c r="E56" s="94">
        <f>+Zal_1_WPF_wg_przeplywow!E44</f>
        <v>2187692</v>
      </c>
      <c r="F56" s="94">
        <f>+Zal_1_WPF_wg_przeplywow!F44</f>
        <v>1649153</v>
      </c>
      <c r="G56" s="94">
        <f>+Zal_1_WPF_wg_przeplywow!G44</f>
        <v>1085243</v>
      </c>
      <c r="H56" s="94">
        <f>+Zal_1_WPF_wg_przeplywow!H44</f>
        <v>571899</v>
      </c>
      <c r="I56" s="94">
        <f>+Zal_1_WPF_wg_przeplywow!I44</f>
        <v>0</v>
      </c>
      <c r="J56" s="94">
        <f>+Zal_1_WPF_wg_przeplywow!J44</f>
        <v>0</v>
      </c>
      <c r="K56" s="94">
        <f>+Zal_1_WPF_wg_przeplywow!K44</f>
        <v>0</v>
      </c>
    </row>
    <row r="57" spans="1:11" ht="24">
      <c r="A57" s="83"/>
      <c r="B57" s="84" t="s">
        <v>92</v>
      </c>
      <c r="C57" s="85">
        <f>+Zal_1_WPF_wg_przeplywow!C45</f>
        <v>3101906</v>
      </c>
      <c r="D57" s="85">
        <f>+Zal_1_WPF_wg_przeplywow!D45</f>
        <v>2668225</v>
      </c>
      <c r="E57" s="85">
        <f>+Zal_1_WPF_wg_przeplywow!E45</f>
        <v>2187692</v>
      </c>
      <c r="F57" s="85">
        <f>+Zal_1_WPF_wg_przeplywow!F45</f>
        <v>1649153</v>
      </c>
      <c r="G57" s="85">
        <f>+Zal_1_WPF_wg_przeplywow!G45</f>
        <v>1085243</v>
      </c>
      <c r="H57" s="85">
        <f>+Zal_1_WPF_wg_przeplywow!H45</f>
        <v>571899</v>
      </c>
      <c r="I57" s="85">
        <f>+Zal_1_WPF_wg_przeplywow!I45</f>
        <v>0</v>
      </c>
      <c r="J57" s="85">
        <f>+Zal_1_WPF_wg_przeplywow!J45</f>
        <v>0</v>
      </c>
      <c r="K57" s="85">
        <f>+Zal_1_WPF_wg_przeplywow!K45</f>
        <v>0</v>
      </c>
    </row>
    <row r="58" spans="1:11" s="4" customFormat="1" ht="12">
      <c r="A58" s="31"/>
      <c r="B58" s="32"/>
      <c r="C58" s="33"/>
      <c r="D58" s="33"/>
      <c r="E58" s="33"/>
      <c r="F58" s="33"/>
      <c r="G58" s="33"/>
      <c r="H58" s="33"/>
      <c r="I58" s="33"/>
      <c r="J58" s="33"/>
      <c r="K58" s="33"/>
    </row>
    <row r="59" spans="1:11" s="4" customFormat="1" ht="12">
      <c r="A59" s="31"/>
      <c r="B59" s="46" t="s">
        <v>88</v>
      </c>
      <c r="C59" s="33"/>
      <c r="D59" s="33"/>
      <c r="E59" s="33"/>
      <c r="F59" s="33"/>
      <c r="G59" s="33"/>
      <c r="H59" s="33"/>
      <c r="I59" s="33"/>
      <c r="J59" s="33"/>
      <c r="K59" s="33"/>
    </row>
    <row r="60" ht="12">
      <c r="B60" s="46" t="s">
        <v>163</v>
      </c>
    </row>
    <row r="61" ht="12">
      <c r="B61" s="46"/>
    </row>
    <row r="63" ht="12">
      <c r="B63" s="22" t="s">
        <v>182</v>
      </c>
    </row>
    <row r="64" ht="12">
      <c r="B64" s="163" t="s">
        <v>188</v>
      </c>
    </row>
    <row r="65" ht="12">
      <c r="B65" s="162" t="s">
        <v>189</v>
      </c>
    </row>
    <row r="67" spans="2:11" ht="12">
      <c r="B67" s="164" t="s">
        <v>169</v>
      </c>
      <c r="C67" s="165" t="str">
        <f>IF(((C6+C25)-(C12+C32))=0,"OK.",+(C6+C25)-(C12+C32))</f>
        <v>OK.</v>
      </c>
      <c r="D67" s="165" t="str">
        <f>IF(((D6+D25)-(D12+D32))=0,"OK.",+(D6+D25)-(D12+D32))</f>
        <v>OK.</v>
      </c>
      <c r="E67" s="165" t="str">
        <f>IF(((E6+E25)-(E12+E32))=0,"OK.",+(E6+E25)-(E12+E32))</f>
        <v>OK.</v>
      </c>
      <c r="F67" s="165" t="str">
        <f aca="true" t="shared" si="14" ref="F67:K67">IF(((F6+F25)-(F12+F32))=0,"OK.",+(F6+F25)-(F12+F32))</f>
        <v>OK.</v>
      </c>
      <c r="G67" s="165" t="str">
        <f t="shared" si="14"/>
        <v>OK.</v>
      </c>
      <c r="H67" s="165" t="str">
        <f t="shared" si="14"/>
        <v>OK.</v>
      </c>
      <c r="I67" s="165" t="str">
        <f t="shared" si="14"/>
        <v>OK.</v>
      </c>
      <c r="J67" s="165" t="str">
        <f t="shared" si="14"/>
        <v>OK.</v>
      </c>
      <c r="K67" s="165" t="str">
        <f t="shared" si="14"/>
        <v>OK.</v>
      </c>
    </row>
    <row r="68" spans="2:11" ht="12">
      <c r="B68" s="166"/>
      <c r="C68" s="167"/>
      <c r="D68" s="167"/>
      <c r="E68" s="167"/>
      <c r="F68" s="167"/>
      <c r="G68" s="167"/>
      <c r="H68" s="167"/>
      <c r="I68" s="167"/>
      <c r="J68" s="167"/>
      <c r="K68" s="167"/>
    </row>
    <row r="69" spans="2:11" ht="22.5">
      <c r="B69" s="168" t="s">
        <v>190</v>
      </c>
      <c r="C69" s="167" t="str">
        <f>+IF(C22&gt;0,IF((C31+C29+C27)&gt;0,"Błąd","OK."),"nie dotyczy")</f>
        <v>OK.</v>
      </c>
      <c r="D69" s="167" t="str">
        <f aca="true" t="shared" si="15" ref="D69:K69">+IF(D22&gt;0,IF((D31+D29+D27)&gt;0,"Błąd","OK."),"nie dotyczy")</f>
        <v>OK.</v>
      </c>
      <c r="E69" s="167" t="str">
        <f t="shared" si="15"/>
        <v>OK.</v>
      </c>
      <c r="F69" s="167" t="str">
        <f t="shared" si="15"/>
        <v>OK.</v>
      </c>
      <c r="G69" s="167" t="str">
        <f t="shared" si="15"/>
        <v>OK.</v>
      </c>
      <c r="H69" s="167" t="str">
        <f t="shared" si="15"/>
        <v>OK.</v>
      </c>
      <c r="I69" s="167" t="str">
        <f t="shared" si="15"/>
        <v>OK.</v>
      </c>
      <c r="J69" s="167" t="str">
        <f t="shared" si="15"/>
        <v>OK.</v>
      </c>
      <c r="K69" s="167" t="str">
        <f t="shared" si="15"/>
        <v>OK.</v>
      </c>
    </row>
    <row r="70" spans="2:11" ht="22.5">
      <c r="B70" s="168" t="s">
        <v>173</v>
      </c>
      <c r="C70" s="167" t="str">
        <f>IF(C22&lt;=0,IF(ROUND((+C22+(C27+C29+C31)),4)=0,"OK.",+C22+(C27+C29+C31)),"nie dotyczy")</f>
        <v>nie dotyczy</v>
      </c>
      <c r="D70" s="167" t="str">
        <f aca="true" t="shared" si="16" ref="D70:K70">IF(D22&lt;=0,IF(ROUND((+D22+(D27+D29+D31)),4)=0,"OK.",+D22+(D27+D29+D31)),"nie dotyczy")</f>
        <v>nie dotyczy</v>
      </c>
      <c r="E70" s="167" t="str">
        <f t="shared" si="16"/>
        <v>nie dotyczy</v>
      </c>
      <c r="F70" s="167" t="str">
        <f t="shared" si="16"/>
        <v>nie dotyczy</v>
      </c>
      <c r="G70" s="167" t="str">
        <f t="shared" si="16"/>
        <v>nie dotyczy</v>
      </c>
      <c r="H70" s="167" t="str">
        <f t="shared" si="16"/>
        <v>nie dotyczy</v>
      </c>
      <c r="I70" s="167" t="str">
        <f t="shared" si="16"/>
        <v>nie dotyczy</v>
      </c>
      <c r="J70" s="167" t="str">
        <f t="shared" si="16"/>
        <v>nie dotyczy</v>
      </c>
      <c r="K70" s="167" t="str">
        <f t="shared" si="16"/>
        <v>nie dotyczy</v>
      </c>
    </row>
    <row r="71" spans="2:11" ht="24">
      <c r="B71" s="169" t="s">
        <v>170</v>
      </c>
      <c r="C71" s="170"/>
      <c r="D71" s="170"/>
      <c r="E71" s="170"/>
      <c r="F71" s="170"/>
      <c r="G71" s="170"/>
      <c r="H71" s="170"/>
      <c r="I71" s="170"/>
      <c r="J71" s="170"/>
      <c r="K71" s="170"/>
    </row>
    <row r="72" spans="2:11" ht="12">
      <c r="B72" s="171" t="s">
        <v>192</v>
      </c>
      <c r="C72" s="170" t="str">
        <f>+IF(C26&lt;C27,"Brak pokrycia","OK.")</f>
        <v>OK.</v>
      </c>
      <c r="D72" s="170" t="str">
        <f aca="true" t="shared" si="17" ref="D72:K72">+IF(D26&lt;D27,"Brak pokrycia","OK.")</f>
        <v>OK.</v>
      </c>
      <c r="E72" s="170" t="str">
        <f t="shared" si="17"/>
        <v>OK.</v>
      </c>
      <c r="F72" s="170" t="str">
        <f t="shared" si="17"/>
        <v>OK.</v>
      </c>
      <c r="G72" s="170" t="str">
        <f t="shared" si="17"/>
        <v>OK.</v>
      </c>
      <c r="H72" s="170" t="str">
        <f t="shared" si="17"/>
        <v>OK.</v>
      </c>
      <c r="I72" s="170" t="str">
        <f t="shared" si="17"/>
        <v>OK.</v>
      </c>
      <c r="J72" s="170" t="str">
        <f t="shared" si="17"/>
        <v>OK.</v>
      </c>
      <c r="K72" s="170" t="str">
        <f t="shared" si="17"/>
        <v>OK.</v>
      </c>
    </row>
    <row r="73" spans="2:11" ht="12">
      <c r="B73" s="171" t="s">
        <v>172</v>
      </c>
      <c r="C73" s="170" t="str">
        <f aca="true" t="shared" si="18" ref="C73:K73">+IF(C28&lt;C29,"Brak pokrycia","OK.")</f>
        <v>OK.</v>
      </c>
      <c r="D73" s="170" t="str">
        <f t="shared" si="18"/>
        <v>OK.</v>
      </c>
      <c r="E73" s="170" t="str">
        <f t="shared" si="18"/>
        <v>OK.</v>
      </c>
      <c r="F73" s="170" t="str">
        <f t="shared" si="18"/>
        <v>OK.</v>
      </c>
      <c r="G73" s="170" t="str">
        <f t="shared" si="18"/>
        <v>OK.</v>
      </c>
      <c r="H73" s="170" t="str">
        <f t="shared" si="18"/>
        <v>OK.</v>
      </c>
      <c r="I73" s="170" t="str">
        <f t="shared" si="18"/>
        <v>OK.</v>
      </c>
      <c r="J73" s="170" t="str">
        <f t="shared" si="18"/>
        <v>OK.</v>
      </c>
      <c r="K73" s="170" t="str">
        <f t="shared" si="18"/>
        <v>OK.</v>
      </c>
    </row>
    <row r="74" spans="2:11" ht="12">
      <c r="B74" s="171" t="s">
        <v>171</v>
      </c>
      <c r="C74" s="170" t="str">
        <f aca="true" t="shared" si="19" ref="C74:K74">+IF(C30&lt;C31,"Brak pokrycia","OK.")</f>
        <v>OK.</v>
      </c>
      <c r="D74" s="170" t="str">
        <f t="shared" si="19"/>
        <v>OK.</v>
      </c>
      <c r="E74" s="170" t="str">
        <f t="shared" si="19"/>
        <v>OK.</v>
      </c>
      <c r="F74" s="170" t="str">
        <f t="shared" si="19"/>
        <v>OK.</v>
      </c>
      <c r="G74" s="170" t="str">
        <f t="shared" si="19"/>
        <v>OK.</v>
      </c>
      <c r="H74" s="170" t="str">
        <f t="shared" si="19"/>
        <v>OK.</v>
      </c>
      <c r="I74" s="170" t="str">
        <f t="shared" si="19"/>
        <v>OK.</v>
      </c>
      <c r="J74" s="170" t="str">
        <f t="shared" si="19"/>
        <v>OK.</v>
      </c>
      <c r="K74" s="170" t="str">
        <f t="shared" si="19"/>
        <v>OK.</v>
      </c>
    </row>
    <row r="75" spans="2:11" ht="12">
      <c r="B75" s="172"/>
      <c r="C75" s="170"/>
      <c r="D75" s="170"/>
      <c r="E75" s="170"/>
      <c r="F75" s="170"/>
      <c r="G75" s="170"/>
      <c r="H75" s="170"/>
      <c r="I75" s="170"/>
      <c r="J75" s="170"/>
      <c r="K75" s="170"/>
    </row>
    <row r="76" spans="2:11" ht="22.5">
      <c r="B76" s="168" t="s">
        <v>174</v>
      </c>
      <c r="C76" s="173" t="s">
        <v>168</v>
      </c>
      <c r="D76" s="167">
        <f aca="true" t="shared" si="20" ref="D76:K76">+IF(ROUND(C36+D28-D33-D36,4)=0,"OK.",ROUND(D36-(C36+D28-D33),4))</f>
        <v>-176000</v>
      </c>
      <c r="E76" s="167">
        <f t="shared" si="20"/>
        <v>-167000</v>
      </c>
      <c r="F76" s="167">
        <f t="shared" si="20"/>
        <v>-159000</v>
      </c>
      <c r="G76" s="167">
        <f t="shared" si="20"/>
        <v>-76000</v>
      </c>
      <c r="H76" s="167" t="str">
        <f t="shared" si="20"/>
        <v>OK.</v>
      </c>
      <c r="I76" s="167" t="str">
        <f t="shared" si="20"/>
        <v>OK.</v>
      </c>
      <c r="J76" s="167" t="str">
        <f t="shared" si="20"/>
        <v>OK.</v>
      </c>
      <c r="K76" s="167" t="str">
        <f t="shared" si="20"/>
        <v>OK.</v>
      </c>
    </row>
    <row r="77" spans="2:11" ht="22.5">
      <c r="B77" s="174" t="s">
        <v>181</v>
      </c>
      <c r="C77" s="170" t="str">
        <f>+IF(C36&lt;C38,"Za wysoka","OK.")</f>
        <v>OK.</v>
      </c>
      <c r="D77" s="170" t="str">
        <f aca="true" t="shared" si="21" ref="D77:K77">+IF(D36&lt;D38,"Za wysoka","OK.")</f>
        <v>OK.</v>
      </c>
      <c r="E77" s="170" t="str">
        <f t="shared" si="21"/>
        <v>OK.</v>
      </c>
      <c r="F77" s="170" t="str">
        <f t="shared" si="21"/>
        <v>OK.</v>
      </c>
      <c r="G77" s="170" t="str">
        <f t="shared" si="21"/>
        <v>OK.</v>
      </c>
      <c r="H77" s="170" t="str">
        <f t="shared" si="21"/>
        <v>OK.</v>
      </c>
      <c r="I77" s="170" t="str">
        <f t="shared" si="21"/>
        <v>OK.</v>
      </c>
      <c r="J77" s="170" t="str">
        <f t="shared" si="21"/>
        <v>OK.</v>
      </c>
      <c r="K77" s="170" t="str">
        <f t="shared" si="21"/>
        <v>OK.</v>
      </c>
    </row>
    <row r="78" spans="2:11" ht="22.5">
      <c r="B78" s="174" t="s">
        <v>176</v>
      </c>
      <c r="C78" s="167" t="str">
        <f>+IF(C33&lt;C34,"Za wysoka","OK.")</f>
        <v>OK.</v>
      </c>
      <c r="D78" s="167" t="str">
        <f aca="true" t="shared" si="22" ref="D78:K78">+IF(D33&lt;D34,"Za wysoka","OK.")</f>
        <v>OK.</v>
      </c>
      <c r="E78" s="167" t="str">
        <f t="shared" si="22"/>
        <v>OK.</v>
      </c>
      <c r="F78" s="167" t="str">
        <f t="shared" si="22"/>
        <v>OK.</v>
      </c>
      <c r="G78" s="167" t="str">
        <f t="shared" si="22"/>
        <v>OK.</v>
      </c>
      <c r="H78" s="167" t="str">
        <f t="shared" si="22"/>
        <v>OK.</v>
      </c>
      <c r="I78" s="167" t="str">
        <f t="shared" si="22"/>
        <v>OK.</v>
      </c>
      <c r="J78" s="167" t="str">
        <f t="shared" si="22"/>
        <v>OK.</v>
      </c>
      <c r="K78" s="167" t="str">
        <f t="shared" si="22"/>
        <v>OK.</v>
      </c>
    </row>
    <row r="79" spans="2:11" ht="22.5">
      <c r="B79" s="174" t="s">
        <v>175</v>
      </c>
      <c r="C79" s="170" t="str">
        <f>+IF(C16&lt;C17,"Za wysoka","OK.")</f>
        <v>OK.</v>
      </c>
      <c r="D79" s="170" t="str">
        <f aca="true" t="shared" si="23" ref="D79:K79">+IF(D16&lt;D17,"Za wysoka","OK.")</f>
        <v>OK.</v>
      </c>
      <c r="E79" s="170" t="str">
        <f t="shared" si="23"/>
        <v>OK.</v>
      </c>
      <c r="F79" s="170" t="str">
        <f t="shared" si="23"/>
        <v>OK.</v>
      </c>
      <c r="G79" s="170" t="str">
        <f t="shared" si="23"/>
        <v>OK.</v>
      </c>
      <c r="H79" s="170" t="str">
        <f t="shared" si="23"/>
        <v>OK.</v>
      </c>
      <c r="I79" s="170" t="str">
        <f t="shared" si="23"/>
        <v>OK.</v>
      </c>
      <c r="J79" s="170" t="str">
        <f t="shared" si="23"/>
        <v>OK.</v>
      </c>
      <c r="K79" s="170" t="str">
        <f t="shared" si="23"/>
        <v>OK.</v>
      </c>
    </row>
    <row r="80" spans="2:11" ht="22.5">
      <c r="B80" s="174" t="s">
        <v>180</v>
      </c>
      <c r="C80" s="170" t="str">
        <f>+IF(C36&lt;C37,"Za wysoka","OK.")</f>
        <v>OK.</v>
      </c>
      <c r="D80" s="170" t="str">
        <f aca="true" t="shared" si="24" ref="D80:K80">+IF(D36&lt;D37,"Za wysoka","OK.")</f>
        <v>OK.</v>
      </c>
      <c r="E80" s="170" t="str">
        <f t="shared" si="24"/>
        <v>OK.</v>
      </c>
      <c r="F80" s="170" t="str">
        <f t="shared" si="24"/>
        <v>OK.</v>
      </c>
      <c r="G80" s="170" t="str">
        <f t="shared" si="24"/>
        <v>OK.</v>
      </c>
      <c r="H80" s="170" t="str">
        <f t="shared" si="24"/>
        <v>OK.</v>
      </c>
      <c r="I80" s="170" t="str">
        <f t="shared" si="24"/>
        <v>OK.</v>
      </c>
      <c r="J80" s="170" t="str">
        <f t="shared" si="24"/>
        <v>OK.</v>
      </c>
      <c r="K80" s="170" t="str">
        <f t="shared" si="24"/>
        <v>OK.</v>
      </c>
    </row>
    <row r="81" spans="2:11" ht="22.5">
      <c r="B81" s="174" t="s">
        <v>186</v>
      </c>
      <c r="C81" s="170" t="str">
        <f>+IF(C36&lt;C56,"Za wysoka","OK.")</f>
        <v>OK.</v>
      </c>
      <c r="D81" s="170" t="str">
        <f aca="true" t="shared" si="25" ref="D81:K81">+IF(D36&lt;D56,"Za wysoka","OK.")</f>
        <v>OK.</v>
      </c>
      <c r="E81" s="170" t="str">
        <f t="shared" si="25"/>
        <v>OK.</v>
      </c>
      <c r="F81" s="170" t="str">
        <f t="shared" si="25"/>
        <v>OK.</v>
      </c>
      <c r="G81" s="170" t="str">
        <f t="shared" si="25"/>
        <v>OK.</v>
      </c>
      <c r="H81" s="170" t="str">
        <f t="shared" si="25"/>
        <v>OK.</v>
      </c>
      <c r="I81" s="170" t="str">
        <f t="shared" si="25"/>
        <v>OK.</v>
      </c>
      <c r="J81" s="170" t="str">
        <f t="shared" si="25"/>
        <v>OK.</v>
      </c>
      <c r="K81" s="170" t="str">
        <f t="shared" si="25"/>
        <v>OK.</v>
      </c>
    </row>
    <row r="82" spans="2:11" ht="22.5">
      <c r="B82" s="174" t="s">
        <v>187</v>
      </c>
      <c r="C82" s="170" t="str">
        <f>+IF(C56&lt;C57,"Za wysoka","OK.")</f>
        <v>OK.</v>
      </c>
      <c r="D82" s="170" t="str">
        <f aca="true" t="shared" si="26" ref="D82:K82">+IF(D56&lt;D57,"Za wysoka","OK.")</f>
        <v>OK.</v>
      </c>
      <c r="E82" s="170" t="str">
        <f t="shared" si="26"/>
        <v>OK.</v>
      </c>
      <c r="F82" s="170" t="str">
        <f t="shared" si="26"/>
        <v>OK.</v>
      </c>
      <c r="G82" s="170" t="str">
        <f t="shared" si="26"/>
        <v>OK.</v>
      </c>
      <c r="H82" s="170" t="str">
        <f t="shared" si="26"/>
        <v>OK.</v>
      </c>
      <c r="I82" s="170" t="str">
        <f t="shared" si="26"/>
        <v>OK.</v>
      </c>
      <c r="J82" s="170" t="str">
        <f t="shared" si="26"/>
        <v>OK.</v>
      </c>
      <c r="K82" s="170" t="str">
        <f t="shared" si="26"/>
        <v>OK.</v>
      </c>
    </row>
    <row r="83" spans="2:11" ht="12">
      <c r="B83" s="175"/>
      <c r="C83" s="175"/>
      <c r="D83" s="175"/>
      <c r="E83" s="175"/>
      <c r="F83" s="175"/>
      <c r="G83" s="175"/>
      <c r="H83" s="175"/>
      <c r="I83" s="175"/>
      <c r="J83" s="175"/>
      <c r="K83" s="175"/>
    </row>
    <row r="84" spans="2:11" ht="22.5">
      <c r="B84" s="174" t="s">
        <v>177</v>
      </c>
      <c r="C84" s="170" t="str">
        <f>+IF(ROUND((C14-(C15+C16+C18)),4)&gt;0,"OK.","Błąd")</f>
        <v>OK.</v>
      </c>
      <c r="D84" s="170" t="str">
        <f aca="true" t="shared" si="27" ref="D84:K84">+IF(ROUND((D14-(D15+D16+D18)),4)&gt;0,"OK.","Błąd")</f>
        <v>OK.</v>
      </c>
      <c r="E84" s="170" t="str">
        <f t="shared" si="27"/>
        <v>OK.</v>
      </c>
      <c r="F84" s="170" t="str">
        <f t="shared" si="27"/>
        <v>OK.</v>
      </c>
      <c r="G84" s="170" t="str">
        <f t="shared" si="27"/>
        <v>OK.</v>
      </c>
      <c r="H84" s="170" t="str">
        <f t="shared" si="27"/>
        <v>OK.</v>
      </c>
      <c r="I84" s="170" t="str">
        <f t="shared" si="27"/>
        <v>OK.</v>
      </c>
      <c r="J84" s="170" t="str">
        <f t="shared" si="27"/>
        <v>OK.</v>
      </c>
      <c r="K84" s="170" t="str">
        <f t="shared" si="27"/>
        <v>OK.</v>
      </c>
    </row>
    <row r="85" spans="2:11" ht="22.5">
      <c r="B85" s="174" t="s">
        <v>178</v>
      </c>
      <c r="C85" s="170" t="str">
        <f>+IF(C18&lt;C19,"Za wysokie","OK.")</f>
        <v>OK.</v>
      </c>
      <c r="D85" s="170" t="str">
        <f aca="true" t="shared" si="28" ref="D85:K85">+IF(D18&lt;D19,"Za wysokie","OK.")</f>
        <v>OK.</v>
      </c>
      <c r="E85" s="170" t="str">
        <f t="shared" si="28"/>
        <v>OK.</v>
      </c>
      <c r="F85" s="170" t="str">
        <f t="shared" si="28"/>
        <v>OK.</v>
      </c>
      <c r="G85" s="170" t="str">
        <f t="shared" si="28"/>
        <v>OK.</v>
      </c>
      <c r="H85" s="170" t="str">
        <f t="shared" si="28"/>
        <v>OK.</v>
      </c>
      <c r="I85" s="170" t="str">
        <f t="shared" si="28"/>
        <v>OK.</v>
      </c>
      <c r="J85" s="170" t="str">
        <f t="shared" si="28"/>
        <v>OK.</v>
      </c>
      <c r="K85" s="170" t="str">
        <f t="shared" si="28"/>
        <v>OK.</v>
      </c>
    </row>
    <row r="86" spans="2:11" ht="12">
      <c r="B86" s="175"/>
      <c r="C86" s="175"/>
      <c r="D86" s="175"/>
      <c r="E86" s="175"/>
      <c r="F86" s="175"/>
      <c r="G86" s="175"/>
      <c r="H86" s="175"/>
      <c r="I86" s="175"/>
      <c r="J86" s="175"/>
      <c r="K86" s="175"/>
    </row>
    <row r="87" spans="2:11" ht="22.5">
      <c r="B87" s="174" t="s">
        <v>185</v>
      </c>
      <c r="C87" s="170" t="str">
        <f aca="true" t="shared" si="29" ref="C87:K87">+IF(C7&lt;C8,"Za wysokie","OK.")</f>
        <v>OK.</v>
      </c>
      <c r="D87" s="170" t="str">
        <f t="shared" si="29"/>
        <v>OK.</v>
      </c>
      <c r="E87" s="170" t="str">
        <f t="shared" si="29"/>
        <v>OK.</v>
      </c>
      <c r="F87" s="170" t="str">
        <f t="shared" si="29"/>
        <v>OK.</v>
      </c>
      <c r="G87" s="170" t="str">
        <f t="shared" si="29"/>
        <v>OK.</v>
      </c>
      <c r="H87" s="170" t="str">
        <f t="shared" si="29"/>
        <v>OK.</v>
      </c>
      <c r="I87" s="170" t="str">
        <f t="shared" si="29"/>
        <v>OK.</v>
      </c>
      <c r="J87" s="170" t="str">
        <f t="shared" si="29"/>
        <v>OK.</v>
      </c>
      <c r="K87" s="170" t="str">
        <f t="shared" si="29"/>
        <v>OK.</v>
      </c>
    </row>
    <row r="88" spans="2:11" ht="22.5">
      <c r="B88" s="174" t="s">
        <v>184</v>
      </c>
      <c r="C88" s="170" t="str">
        <f aca="true" t="shared" si="30" ref="C88:K88">+IF(C9&lt;C11,"Za wysokie","OK.")</f>
        <v>OK.</v>
      </c>
      <c r="D88" s="170" t="str">
        <f t="shared" si="30"/>
        <v>OK.</v>
      </c>
      <c r="E88" s="170" t="str">
        <f t="shared" si="30"/>
        <v>OK.</v>
      </c>
      <c r="F88" s="170" t="str">
        <f t="shared" si="30"/>
        <v>OK.</v>
      </c>
      <c r="G88" s="170" t="str">
        <f t="shared" si="30"/>
        <v>OK.</v>
      </c>
      <c r="H88" s="170" t="str">
        <f t="shared" si="30"/>
        <v>OK.</v>
      </c>
      <c r="I88" s="170" t="str">
        <f t="shared" si="30"/>
        <v>OK.</v>
      </c>
      <c r="J88" s="170" t="str">
        <f t="shared" si="30"/>
        <v>OK.</v>
      </c>
      <c r="K88" s="170" t="str">
        <f t="shared" si="30"/>
        <v>OK.</v>
      </c>
    </row>
    <row r="89" spans="2:11" ht="33.75">
      <c r="B89" s="174" t="s">
        <v>183</v>
      </c>
      <c r="C89" s="170" t="str">
        <f>+IF(C14&lt;C15,"Za wysokie","OK.")</f>
        <v>OK.</v>
      </c>
      <c r="D89" s="170" t="str">
        <f aca="true" t="shared" si="31" ref="D89:K89">+IF(D14&lt;D15,"Za wysokie","OK.")</f>
        <v>OK.</v>
      </c>
      <c r="E89" s="170" t="str">
        <f t="shared" si="31"/>
        <v>OK.</v>
      </c>
      <c r="F89" s="170" t="str">
        <f t="shared" si="31"/>
        <v>OK.</v>
      </c>
      <c r="G89" s="170" t="str">
        <f t="shared" si="31"/>
        <v>OK.</v>
      </c>
      <c r="H89" s="170" t="str">
        <f t="shared" si="31"/>
        <v>OK.</v>
      </c>
      <c r="I89" s="170" t="str">
        <f t="shared" si="31"/>
        <v>OK.</v>
      </c>
      <c r="J89" s="170" t="str">
        <f t="shared" si="31"/>
        <v>OK.</v>
      </c>
      <c r="K89" s="170" t="str">
        <f t="shared" si="31"/>
        <v>OK.</v>
      </c>
    </row>
    <row r="90" spans="2:11" ht="33.75">
      <c r="B90" s="176" t="s">
        <v>179</v>
      </c>
      <c r="C90" s="177" t="str">
        <f aca="true" t="shared" si="32" ref="C90:K90">+IF(C20&lt;C21,"Za wysokie","OK.")</f>
        <v>OK.</v>
      </c>
      <c r="D90" s="177" t="str">
        <f t="shared" si="32"/>
        <v>OK.</v>
      </c>
      <c r="E90" s="177" t="str">
        <f t="shared" si="32"/>
        <v>OK.</v>
      </c>
      <c r="F90" s="177" t="str">
        <f t="shared" si="32"/>
        <v>OK.</v>
      </c>
      <c r="G90" s="177" t="str">
        <f t="shared" si="32"/>
        <v>OK.</v>
      </c>
      <c r="H90" s="177" t="str">
        <f t="shared" si="32"/>
        <v>OK.</v>
      </c>
      <c r="I90" s="177" t="str">
        <f t="shared" si="32"/>
        <v>OK.</v>
      </c>
      <c r="J90" s="177" t="str">
        <f t="shared" si="32"/>
        <v>OK.</v>
      </c>
      <c r="K90" s="177" t="str">
        <f t="shared" si="32"/>
        <v>OK.</v>
      </c>
    </row>
  </sheetData>
  <sheetProtection/>
  <conditionalFormatting sqref="C67:K67 C69:K70 C72:K74 C84:K85 C87:K90 C76:K82">
    <cfRule type="cellIs" priority="3" dxfId="1" operator="notEqual" stopIfTrue="1">
      <formula>"OK."</formula>
    </cfRule>
  </conditionalFormatting>
  <conditionalFormatting sqref="C47:K47 C49:K49">
    <cfRule type="expression" priority="5" dxfId="0" stopIfTrue="1">
      <formula>LEFT(C47,3)="Nie"</formula>
    </cfRule>
  </conditionalFormatting>
  <printOptions horizontalCentered="1"/>
  <pageMargins left="0.31496062992125984" right="0.31496062992125984" top="0.4724409448818898" bottom="0.4724409448818898" header="0.31496062992125984" footer="0.31496062992125984"/>
  <pageSetup blackAndWhite="1" horizontalDpi="300" verticalDpi="300" orientation="landscape" paperSize="9" scale="85" r:id="rId1"/>
  <headerFooter alignWithMargins="0">
    <oddHeader>&amp;C&amp;"Czcionka tekstu podstawowego,Kursywa"&amp;9                                                                                                                            Załącznik nr 1 do Uchwały Rady Powiatu Jeleniogórskiego Nr XX/119/12 z dnia 11.06.12r.</oddHeader>
    <oddFooter>&amp;L&amp;"Czcionka tekstu podstawowego,Kursywa"&amp;8Wersja szablonu wydruku: 2011-11-07a&amp;C&amp;8Strona &amp;P z &amp;N&amp;R&amp;8Wydruk z dn.: &amp;D - &amp;T</oddFooter>
  </headerFooter>
  <rowBreaks count="1" manualBreakCount="1">
    <brk id="43" max="4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IO72"/>
  <sheetViews>
    <sheetView zoomScalePageLayoutView="0" workbookViewId="0" topLeftCell="A1">
      <pane xSplit="2" ySplit="6" topLeftCell="C47" activePane="bottomRight" state="frozen"/>
      <selection pane="topLeft" activeCell="A53" sqref="A53"/>
      <selection pane="topRight" activeCell="A53" sqref="A53"/>
      <selection pane="bottomLeft" activeCell="A53" sqref="A53"/>
      <selection pane="bottomRight" activeCell="B61" sqref="B61"/>
    </sheetView>
  </sheetViews>
  <sheetFormatPr defaultColWidth="8.796875" defaultRowHeight="14.25"/>
  <cols>
    <col min="1" max="1" width="3.59765625" style="1" bestFit="1" customWidth="1"/>
    <col min="2" max="2" width="49" style="1" customWidth="1"/>
    <col min="3" max="9" width="13.59765625" style="1" customWidth="1"/>
    <col min="10" max="31" width="13.5" style="1" customWidth="1"/>
    <col min="32" max="41" width="13.59765625" style="4" customWidth="1"/>
    <col min="42" max="16384" width="9" style="4" customWidth="1"/>
  </cols>
  <sheetData>
    <row r="1" spans="3:9" ht="12">
      <c r="C1" s="26" t="s">
        <v>42</v>
      </c>
      <c r="D1" s="16" t="str">
        <f>+DaneZrodlowe!B4</f>
        <v>022012</v>
      </c>
      <c r="G1" s="27"/>
      <c r="H1" s="27"/>
      <c r="I1" s="27"/>
    </row>
    <row r="2" spans="1:9" ht="12">
      <c r="A2" s="23"/>
      <c r="C2" s="19" t="s">
        <v>40</v>
      </c>
      <c r="D2" s="20" t="str">
        <f>+"("&amp;DaneZrodlowe!D4&amp;") - "&amp;DaneZrodlowe!C4</f>
        <v>(206000) - jeleniogórski</v>
      </c>
      <c r="F2" s="16"/>
      <c r="G2" s="16"/>
      <c r="H2" s="16"/>
      <c r="I2" s="16"/>
    </row>
    <row r="3" spans="1:4" ht="12">
      <c r="A3" s="17"/>
      <c r="C3" s="18" t="s">
        <v>41</v>
      </c>
      <c r="D3" s="21" t="str">
        <f>+"2012-"&amp;MAX(DaneZrodlowe!L:L)</f>
        <v>2012-2020</v>
      </c>
    </row>
    <row r="4" ht="12">
      <c r="A4" s="17"/>
    </row>
    <row r="5" spans="1:31" s="36" customFormat="1" ht="12">
      <c r="A5" s="161"/>
      <c r="B5" s="161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</row>
    <row r="6" spans="1:249" s="40" customFormat="1" ht="12.75" customHeight="1">
      <c r="A6" s="102" t="s">
        <v>0</v>
      </c>
      <c r="B6" s="103" t="s">
        <v>1</v>
      </c>
      <c r="C6" s="104">
        <v>2012</v>
      </c>
      <c r="D6" s="104">
        <v>2013</v>
      </c>
      <c r="E6" s="104">
        <v>2014</v>
      </c>
      <c r="F6" s="104">
        <v>2015</v>
      </c>
      <c r="G6" s="104">
        <v>2016</v>
      </c>
      <c r="H6" s="104">
        <v>2017</v>
      </c>
      <c r="I6" s="104">
        <v>2018</v>
      </c>
      <c r="J6" s="104">
        <v>2019</v>
      </c>
      <c r="K6" s="104">
        <v>2020</v>
      </c>
      <c r="L6" s="104">
        <v>2021</v>
      </c>
      <c r="M6" s="104">
        <v>2022</v>
      </c>
      <c r="N6" s="104">
        <v>2023</v>
      </c>
      <c r="O6" s="104">
        <v>2024</v>
      </c>
      <c r="P6" s="104">
        <v>2025</v>
      </c>
      <c r="Q6" s="104">
        <v>2026</v>
      </c>
      <c r="R6" s="104">
        <v>2027</v>
      </c>
      <c r="S6" s="104">
        <v>2028</v>
      </c>
      <c r="T6" s="104">
        <v>2029</v>
      </c>
      <c r="U6" s="104">
        <v>2030</v>
      </c>
      <c r="V6" s="104">
        <v>2031</v>
      </c>
      <c r="W6" s="104">
        <v>2032</v>
      </c>
      <c r="X6" s="104">
        <v>2033</v>
      </c>
      <c r="Y6" s="104">
        <v>2034</v>
      </c>
      <c r="Z6" s="104">
        <v>2035</v>
      </c>
      <c r="AA6" s="104">
        <v>2036</v>
      </c>
      <c r="AB6" s="104">
        <v>2037</v>
      </c>
      <c r="AC6" s="104">
        <v>2038</v>
      </c>
      <c r="AD6" s="104">
        <v>2039</v>
      </c>
      <c r="AE6" s="104" t="s">
        <v>26</v>
      </c>
      <c r="AF6" s="104">
        <v>2041</v>
      </c>
      <c r="AG6" s="104">
        <v>2042</v>
      </c>
      <c r="AH6" s="104">
        <v>2043</v>
      </c>
      <c r="AI6" s="104">
        <v>2044</v>
      </c>
      <c r="AJ6" s="104">
        <v>2045</v>
      </c>
      <c r="AK6" s="104">
        <v>2046</v>
      </c>
      <c r="AL6" s="104">
        <v>2047</v>
      </c>
      <c r="AM6" s="104">
        <v>2048</v>
      </c>
      <c r="AN6" s="104">
        <v>2049</v>
      </c>
      <c r="AO6" s="104">
        <v>2050</v>
      </c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</row>
    <row r="7" spans="1:41" s="36" customFormat="1" ht="12">
      <c r="A7" s="131">
        <v>1</v>
      </c>
      <c r="B7" s="132" t="s">
        <v>93</v>
      </c>
      <c r="C7" s="133">
        <f>69885258</f>
        <v>69885258</v>
      </c>
      <c r="D7" s="133">
        <f>66487152</f>
        <v>66487152</v>
      </c>
      <c r="E7" s="133">
        <f>67037835</f>
        <v>67037835</v>
      </c>
      <c r="F7" s="133">
        <f>68866659</f>
        <v>68866659</v>
      </c>
      <c r="G7" s="133">
        <f>71276992</f>
        <v>71276992</v>
      </c>
      <c r="H7" s="133">
        <f>73771687</f>
        <v>73771687</v>
      </c>
      <c r="I7" s="133">
        <f>76353696</f>
        <v>76353696</v>
      </c>
      <c r="J7" s="133">
        <f>79026075</f>
        <v>79026075</v>
      </c>
      <c r="K7" s="133">
        <f>81791988</f>
        <v>81791988</v>
      </c>
      <c r="L7" s="133">
        <f>0</f>
        <v>0</v>
      </c>
      <c r="M7" s="133">
        <f>0</f>
        <v>0</v>
      </c>
      <c r="N7" s="133">
        <f>0</f>
        <v>0</v>
      </c>
      <c r="O7" s="133">
        <f>0</f>
        <v>0</v>
      </c>
      <c r="P7" s="133">
        <f>0</f>
        <v>0</v>
      </c>
      <c r="Q7" s="133">
        <f>0</f>
        <v>0</v>
      </c>
      <c r="R7" s="133">
        <f>0</f>
        <v>0</v>
      </c>
      <c r="S7" s="133">
        <f>0</f>
        <v>0</v>
      </c>
      <c r="T7" s="133">
        <f>0</f>
        <v>0</v>
      </c>
      <c r="U7" s="133">
        <f>0</f>
        <v>0</v>
      </c>
      <c r="V7" s="133">
        <f>0</f>
        <v>0</v>
      </c>
      <c r="W7" s="133">
        <f>0</f>
        <v>0</v>
      </c>
      <c r="X7" s="133">
        <f>0</f>
        <v>0</v>
      </c>
      <c r="Y7" s="133">
        <f>0</f>
        <v>0</v>
      </c>
      <c r="Z7" s="133">
        <f>0</f>
        <v>0</v>
      </c>
      <c r="AA7" s="133">
        <f>0</f>
        <v>0</v>
      </c>
      <c r="AB7" s="133">
        <f>0</f>
        <v>0</v>
      </c>
      <c r="AC7" s="133">
        <f>0</f>
        <v>0</v>
      </c>
      <c r="AD7" s="133">
        <f>0</f>
        <v>0</v>
      </c>
      <c r="AE7" s="133">
        <f>0</f>
        <v>0</v>
      </c>
      <c r="AF7" s="133">
        <f>0</f>
        <v>0</v>
      </c>
      <c r="AG7" s="133">
        <f>0</f>
        <v>0</v>
      </c>
      <c r="AH7" s="133">
        <f>0</f>
        <v>0</v>
      </c>
      <c r="AI7" s="133">
        <f>0</f>
        <v>0</v>
      </c>
      <c r="AJ7" s="133">
        <f>0</f>
        <v>0</v>
      </c>
      <c r="AK7" s="133">
        <f>0</f>
        <v>0</v>
      </c>
      <c r="AL7" s="133">
        <f>0</f>
        <v>0</v>
      </c>
      <c r="AM7" s="133">
        <f>0</f>
        <v>0</v>
      </c>
      <c r="AN7" s="133">
        <f>0</f>
        <v>0</v>
      </c>
      <c r="AO7" s="133">
        <f>0</f>
        <v>0</v>
      </c>
    </row>
    <row r="8" spans="1:41" s="36" customFormat="1" ht="12">
      <c r="A8" s="110" t="s">
        <v>94</v>
      </c>
      <c r="B8" s="111" t="s">
        <v>95</v>
      </c>
      <c r="C8" s="112">
        <f>66365258</f>
        <v>66365258</v>
      </c>
      <c r="D8" s="112">
        <f>64287152</f>
        <v>64287152</v>
      </c>
      <c r="E8" s="112">
        <f>66537835</f>
        <v>66537835</v>
      </c>
      <c r="F8" s="112">
        <f>68866659</f>
        <v>68866659</v>
      </c>
      <c r="G8" s="112">
        <f>71276992</f>
        <v>71276992</v>
      </c>
      <c r="H8" s="112">
        <f>73771687</f>
        <v>73771687</v>
      </c>
      <c r="I8" s="112">
        <f>76353696</f>
        <v>76353696</v>
      </c>
      <c r="J8" s="112">
        <f>79026075</f>
        <v>79026075</v>
      </c>
      <c r="K8" s="112">
        <f>81791988</f>
        <v>81791988</v>
      </c>
      <c r="L8" s="112">
        <f>0</f>
        <v>0</v>
      </c>
      <c r="M8" s="112">
        <f>0</f>
        <v>0</v>
      </c>
      <c r="N8" s="112">
        <f>0</f>
        <v>0</v>
      </c>
      <c r="O8" s="112">
        <f>0</f>
        <v>0</v>
      </c>
      <c r="P8" s="112">
        <f>0</f>
        <v>0</v>
      </c>
      <c r="Q8" s="112">
        <f>0</f>
        <v>0</v>
      </c>
      <c r="R8" s="112">
        <f>0</f>
        <v>0</v>
      </c>
      <c r="S8" s="112">
        <f>0</f>
        <v>0</v>
      </c>
      <c r="T8" s="112">
        <f>0</f>
        <v>0</v>
      </c>
      <c r="U8" s="112">
        <f>0</f>
        <v>0</v>
      </c>
      <c r="V8" s="112">
        <f>0</f>
        <v>0</v>
      </c>
      <c r="W8" s="112">
        <f>0</f>
        <v>0</v>
      </c>
      <c r="X8" s="112">
        <f>0</f>
        <v>0</v>
      </c>
      <c r="Y8" s="112">
        <f>0</f>
        <v>0</v>
      </c>
      <c r="Z8" s="112">
        <f>0</f>
        <v>0</v>
      </c>
      <c r="AA8" s="112">
        <f>0</f>
        <v>0</v>
      </c>
      <c r="AB8" s="112">
        <f>0</f>
        <v>0</v>
      </c>
      <c r="AC8" s="112">
        <f>0</f>
        <v>0</v>
      </c>
      <c r="AD8" s="112">
        <f>0</f>
        <v>0</v>
      </c>
      <c r="AE8" s="112">
        <f>0</f>
        <v>0</v>
      </c>
      <c r="AF8" s="112">
        <f>0</f>
        <v>0</v>
      </c>
      <c r="AG8" s="112">
        <f>0</f>
        <v>0</v>
      </c>
      <c r="AH8" s="112">
        <f>0</f>
        <v>0</v>
      </c>
      <c r="AI8" s="112">
        <f>0</f>
        <v>0</v>
      </c>
      <c r="AJ8" s="112">
        <f>0</f>
        <v>0</v>
      </c>
      <c r="AK8" s="112">
        <f>0</f>
        <v>0</v>
      </c>
      <c r="AL8" s="112">
        <f>0</f>
        <v>0</v>
      </c>
      <c r="AM8" s="112">
        <f>0</f>
        <v>0</v>
      </c>
      <c r="AN8" s="112">
        <f>0</f>
        <v>0</v>
      </c>
      <c r="AO8" s="112">
        <f>0</f>
        <v>0</v>
      </c>
    </row>
    <row r="9" spans="1:41" s="36" customFormat="1" ht="12">
      <c r="A9" s="110" t="s">
        <v>96</v>
      </c>
      <c r="B9" s="113" t="s">
        <v>84</v>
      </c>
      <c r="C9" s="112">
        <f>383050</f>
        <v>383050</v>
      </c>
      <c r="D9" s="112">
        <f>171278</f>
        <v>171278</v>
      </c>
      <c r="E9" s="112">
        <f>0</f>
        <v>0</v>
      </c>
      <c r="F9" s="112">
        <f>0</f>
        <v>0</v>
      </c>
      <c r="G9" s="112">
        <f>0</f>
        <v>0</v>
      </c>
      <c r="H9" s="112">
        <f>0</f>
        <v>0</v>
      </c>
      <c r="I9" s="112">
        <f>0</f>
        <v>0</v>
      </c>
      <c r="J9" s="112">
        <f>0</f>
        <v>0</v>
      </c>
      <c r="K9" s="112">
        <f>0</f>
        <v>0</v>
      </c>
      <c r="L9" s="112">
        <f>0</f>
        <v>0</v>
      </c>
      <c r="M9" s="112">
        <f>0</f>
        <v>0</v>
      </c>
      <c r="N9" s="112">
        <f>0</f>
        <v>0</v>
      </c>
      <c r="O9" s="112">
        <f>0</f>
        <v>0</v>
      </c>
      <c r="P9" s="112">
        <f>0</f>
        <v>0</v>
      </c>
      <c r="Q9" s="112">
        <f>0</f>
        <v>0</v>
      </c>
      <c r="R9" s="112">
        <f>0</f>
        <v>0</v>
      </c>
      <c r="S9" s="112">
        <f>0</f>
        <v>0</v>
      </c>
      <c r="T9" s="112">
        <f>0</f>
        <v>0</v>
      </c>
      <c r="U9" s="112">
        <f>0</f>
        <v>0</v>
      </c>
      <c r="V9" s="112">
        <f>0</f>
        <v>0</v>
      </c>
      <c r="W9" s="112">
        <f>0</f>
        <v>0</v>
      </c>
      <c r="X9" s="112">
        <f>0</f>
        <v>0</v>
      </c>
      <c r="Y9" s="112">
        <f>0</f>
        <v>0</v>
      </c>
      <c r="Z9" s="112">
        <f>0</f>
        <v>0</v>
      </c>
      <c r="AA9" s="112">
        <f>0</f>
        <v>0</v>
      </c>
      <c r="AB9" s="112">
        <f>0</f>
        <v>0</v>
      </c>
      <c r="AC9" s="112">
        <f>0</f>
        <v>0</v>
      </c>
      <c r="AD9" s="112">
        <f>0</f>
        <v>0</v>
      </c>
      <c r="AE9" s="112">
        <f>0</f>
        <v>0</v>
      </c>
      <c r="AF9" s="112">
        <f>0</f>
        <v>0</v>
      </c>
      <c r="AG9" s="112">
        <f>0</f>
        <v>0</v>
      </c>
      <c r="AH9" s="112">
        <f>0</f>
        <v>0</v>
      </c>
      <c r="AI9" s="112">
        <f>0</f>
        <v>0</v>
      </c>
      <c r="AJ9" s="112">
        <f>0</f>
        <v>0</v>
      </c>
      <c r="AK9" s="112">
        <f>0</f>
        <v>0</v>
      </c>
      <c r="AL9" s="112">
        <f>0</f>
        <v>0</v>
      </c>
      <c r="AM9" s="112">
        <f>0</f>
        <v>0</v>
      </c>
      <c r="AN9" s="112">
        <f>0</f>
        <v>0</v>
      </c>
      <c r="AO9" s="112">
        <f>0</f>
        <v>0</v>
      </c>
    </row>
    <row r="10" spans="1:41" s="36" customFormat="1" ht="12">
      <c r="A10" s="110" t="s">
        <v>98</v>
      </c>
      <c r="B10" s="114" t="s">
        <v>99</v>
      </c>
      <c r="C10" s="112">
        <f>3520000</f>
        <v>3520000</v>
      </c>
      <c r="D10" s="112">
        <f>2200000</f>
        <v>2200000</v>
      </c>
      <c r="E10" s="112">
        <f>500000</f>
        <v>500000</v>
      </c>
      <c r="F10" s="112">
        <f>0</f>
        <v>0</v>
      </c>
      <c r="G10" s="112">
        <f>0</f>
        <v>0</v>
      </c>
      <c r="H10" s="112">
        <f>0</f>
        <v>0</v>
      </c>
      <c r="I10" s="112">
        <f>0</f>
        <v>0</v>
      </c>
      <c r="J10" s="112">
        <f>0</f>
        <v>0</v>
      </c>
      <c r="K10" s="112">
        <f>0</f>
        <v>0</v>
      </c>
      <c r="L10" s="112">
        <f>0</f>
        <v>0</v>
      </c>
      <c r="M10" s="112">
        <f>0</f>
        <v>0</v>
      </c>
      <c r="N10" s="112">
        <f>0</f>
        <v>0</v>
      </c>
      <c r="O10" s="112">
        <f>0</f>
        <v>0</v>
      </c>
      <c r="P10" s="112">
        <f>0</f>
        <v>0</v>
      </c>
      <c r="Q10" s="112">
        <f>0</f>
        <v>0</v>
      </c>
      <c r="R10" s="112">
        <f>0</f>
        <v>0</v>
      </c>
      <c r="S10" s="112">
        <f>0</f>
        <v>0</v>
      </c>
      <c r="T10" s="112">
        <f>0</f>
        <v>0</v>
      </c>
      <c r="U10" s="112">
        <f>0</f>
        <v>0</v>
      </c>
      <c r="V10" s="112">
        <f>0</f>
        <v>0</v>
      </c>
      <c r="W10" s="112">
        <f>0</f>
        <v>0</v>
      </c>
      <c r="X10" s="112">
        <f>0</f>
        <v>0</v>
      </c>
      <c r="Y10" s="112">
        <f>0</f>
        <v>0</v>
      </c>
      <c r="Z10" s="112">
        <f>0</f>
        <v>0</v>
      </c>
      <c r="AA10" s="112">
        <f>0</f>
        <v>0</v>
      </c>
      <c r="AB10" s="112">
        <f>0</f>
        <v>0</v>
      </c>
      <c r="AC10" s="112">
        <f>0</f>
        <v>0</v>
      </c>
      <c r="AD10" s="112">
        <f>0</f>
        <v>0</v>
      </c>
      <c r="AE10" s="112">
        <f>0</f>
        <v>0</v>
      </c>
      <c r="AF10" s="112">
        <f>0</f>
        <v>0</v>
      </c>
      <c r="AG10" s="112">
        <f>0</f>
        <v>0</v>
      </c>
      <c r="AH10" s="112">
        <f>0</f>
        <v>0</v>
      </c>
      <c r="AI10" s="112">
        <f>0</f>
        <v>0</v>
      </c>
      <c r="AJ10" s="112">
        <f>0</f>
        <v>0</v>
      </c>
      <c r="AK10" s="112">
        <f>0</f>
        <v>0</v>
      </c>
      <c r="AL10" s="112">
        <f>0</f>
        <v>0</v>
      </c>
      <c r="AM10" s="112">
        <f>0</f>
        <v>0</v>
      </c>
      <c r="AN10" s="112">
        <f>0</f>
        <v>0</v>
      </c>
      <c r="AO10" s="112">
        <f>0</f>
        <v>0</v>
      </c>
    </row>
    <row r="11" spans="1:41" s="36" customFormat="1" ht="12">
      <c r="A11" s="110" t="s">
        <v>100</v>
      </c>
      <c r="B11" s="113" t="s">
        <v>86</v>
      </c>
      <c r="C11" s="112">
        <f>3000000</f>
        <v>3000000</v>
      </c>
      <c r="D11" s="112">
        <f>2200000</f>
        <v>2200000</v>
      </c>
      <c r="E11" s="112">
        <f>500000</f>
        <v>500000</v>
      </c>
      <c r="F11" s="112">
        <f>0</f>
        <v>0</v>
      </c>
      <c r="G11" s="112">
        <f>0</f>
        <v>0</v>
      </c>
      <c r="H11" s="112">
        <f>0</f>
        <v>0</v>
      </c>
      <c r="I11" s="112">
        <f>0</f>
        <v>0</v>
      </c>
      <c r="J11" s="112">
        <f>0</f>
        <v>0</v>
      </c>
      <c r="K11" s="112">
        <f>0</f>
        <v>0</v>
      </c>
      <c r="L11" s="112">
        <f>0</f>
        <v>0</v>
      </c>
      <c r="M11" s="112">
        <f>0</f>
        <v>0</v>
      </c>
      <c r="N11" s="112">
        <f>0</f>
        <v>0</v>
      </c>
      <c r="O11" s="112">
        <f>0</f>
        <v>0</v>
      </c>
      <c r="P11" s="112">
        <f>0</f>
        <v>0</v>
      </c>
      <c r="Q11" s="112">
        <f>0</f>
        <v>0</v>
      </c>
      <c r="R11" s="112">
        <f>0</f>
        <v>0</v>
      </c>
      <c r="S11" s="112">
        <f>0</f>
        <v>0</v>
      </c>
      <c r="T11" s="112">
        <f>0</f>
        <v>0</v>
      </c>
      <c r="U11" s="112">
        <f>0</f>
        <v>0</v>
      </c>
      <c r="V11" s="112">
        <f>0</f>
        <v>0</v>
      </c>
      <c r="W11" s="112">
        <f>0</f>
        <v>0</v>
      </c>
      <c r="X11" s="112">
        <f>0</f>
        <v>0</v>
      </c>
      <c r="Y11" s="112">
        <f>0</f>
        <v>0</v>
      </c>
      <c r="Z11" s="112">
        <f>0</f>
        <v>0</v>
      </c>
      <c r="AA11" s="112">
        <f>0</f>
        <v>0</v>
      </c>
      <c r="AB11" s="112">
        <f>0</f>
        <v>0</v>
      </c>
      <c r="AC11" s="112">
        <f>0</f>
        <v>0</v>
      </c>
      <c r="AD11" s="112">
        <f>0</f>
        <v>0</v>
      </c>
      <c r="AE11" s="112">
        <f>0</f>
        <v>0</v>
      </c>
      <c r="AF11" s="112">
        <f>0</f>
        <v>0</v>
      </c>
      <c r="AG11" s="112">
        <f>0</f>
        <v>0</v>
      </c>
      <c r="AH11" s="112">
        <f>0</f>
        <v>0</v>
      </c>
      <c r="AI11" s="112">
        <f>0</f>
        <v>0</v>
      </c>
      <c r="AJ11" s="112">
        <f>0</f>
        <v>0</v>
      </c>
      <c r="AK11" s="112">
        <f>0</f>
        <v>0</v>
      </c>
      <c r="AL11" s="112">
        <f>0</f>
        <v>0</v>
      </c>
      <c r="AM11" s="112">
        <f>0</f>
        <v>0</v>
      </c>
      <c r="AN11" s="112">
        <f>0</f>
        <v>0</v>
      </c>
      <c r="AO11" s="112">
        <f>0</f>
        <v>0</v>
      </c>
    </row>
    <row r="12" spans="1:41" s="36" customFormat="1" ht="12">
      <c r="A12" s="134" t="s">
        <v>102</v>
      </c>
      <c r="B12" s="135" t="s">
        <v>87</v>
      </c>
      <c r="C12" s="136">
        <f>0</f>
        <v>0</v>
      </c>
      <c r="D12" s="136">
        <f>0</f>
        <v>0</v>
      </c>
      <c r="E12" s="136">
        <f>0</f>
        <v>0</v>
      </c>
      <c r="F12" s="136">
        <f>0</f>
        <v>0</v>
      </c>
      <c r="G12" s="136">
        <f>0</f>
        <v>0</v>
      </c>
      <c r="H12" s="136">
        <f>0</f>
        <v>0</v>
      </c>
      <c r="I12" s="136">
        <f>0</f>
        <v>0</v>
      </c>
      <c r="J12" s="136">
        <f>0</f>
        <v>0</v>
      </c>
      <c r="K12" s="136">
        <f>0</f>
        <v>0</v>
      </c>
      <c r="L12" s="136">
        <f>0</f>
        <v>0</v>
      </c>
      <c r="M12" s="136">
        <f>0</f>
        <v>0</v>
      </c>
      <c r="N12" s="136">
        <f>0</f>
        <v>0</v>
      </c>
      <c r="O12" s="136">
        <f>0</f>
        <v>0</v>
      </c>
      <c r="P12" s="136">
        <f>0</f>
        <v>0</v>
      </c>
      <c r="Q12" s="136">
        <f>0</f>
        <v>0</v>
      </c>
      <c r="R12" s="136">
        <f>0</f>
        <v>0</v>
      </c>
      <c r="S12" s="136">
        <f>0</f>
        <v>0</v>
      </c>
      <c r="T12" s="136">
        <f>0</f>
        <v>0</v>
      </c>
      <c r="U12" s="136">
        <f>0</f>
        <v>0</v>
      </c>
      <c r="V12" s="136">
        <f>0</f>
        <v>0</v>
      </c>
      <c r="W12" s="136">
        <f>0</f>
        <v>0</v>
      </c>
      <c r="X12" s="136">
        <f>0</f>
        <v>0</v>
      </c>
      <c r="Y12" s="136">
        <f>0</f>
        <v>0</v>
      </c>
      <c r="Z12" s="136">
        <f>0</f>
        <v>0</v>
      </c>
      <c r="AA12" s="136">
        <f>0</f>
        <v>0</v>
      </c>
      <c r="AB12" s="136">
        <f>0</f>
        <v>0</v>
      </c>
      <c r="AC12" s="136">
        <f>0</f>
        <v>0</v>
      </c>
      <c r="AD12" s="136">
        <f>0</f>
        <v>0</v>
      </c>
      <c r="AE12" s="136">
        <f>0</f>
        <v>0</v>
      </c>
      <c r="AF12" s="136">
        <f>0</f>
        <v>0</v>
      </c>
      <c r="AG12" s="136">
        <f>0</f>
        <v>0</v>
      </c>
      <c r="AH12" s="136">
        <f>0</f>
        <v>0</v>
      </c>
      <c r="AI12" s="136">
        <f>0</f>
        <v>0</v>
      </c>
      <c r="AJ12" s="136">
        <f>0</f>
        <v>0</v>
      </c>
      <c r="AK12" s="136">
        <f>0</f>
        <v>0</v>
      </c>
      <c r="AL12" s="136">
        <f>0</f>
        <v>0</v>
      </c>
      <c r="AM12" s="136">
        <f>0</f>
        <v>0</v>
      </c>
      <c r="AN12" s="136">
        <f>0</f>
        <v>0</v>
      </c>
      <c r="AO12" s="136">
        <f>0</f>
        <v>0</v>
      </c>
    </row>
    <row r="13" spans="1:41" s="36" customFormat="1" ht="24">
      <c r="A13" s="131">
        <v>2</v>
      </c>
      <c r="B13" s="132" t="s">
        <v>3</v>
      </c>
      <c r="C13" s="133">
        <f>66106486</f>
        <v>66106486</v>
      </c>
      <c r="D13" s="133">
        <f>59001629</f>
        <v>59001629</v>
      </c>
      <c r="E13" s="133">
        <f>60989170</f>
        <v>60989170</v>
      </c>
      <c r="F13" s="133">
        <f>62513899</f>
        <v>62513899</v>
      </c>
      <c r="G13" s="133">
        <f>64076746</f>
        <v>64076746</v>
      </c>
      <c r="H13" s="133">
        <f>65678665</f>
        <v>65678665</v>
      </c>
      <c r="I13" s="133">
        <f>67320632</f>
        <v>67320632</v>
      </c>
      <c r="J13" s="133">
        <f>69003647</f>
        <v>69003647</v>
      </c>
      <c r="K13" s="133">
        <f>70728739</f>
        <v>70728739</v>
      </c>
      <c r="L13" s="133">
        <f>0</f>
        <v>0</v>
      </c>
      <c r="M13" s="133">
        <f>0</f>
        <v>0</v>
      </c>
      <c r="N13" s="133">
        <f>0</f>
        <v>0</v>
      </c>
      <c r="O13" s="133">
        <f>0</f>
        <v>0</v>
      </c>
      <c r="P13" s="133">
        <f>0</f>
        <v>0</v>
      </c>
      <c r="Q13" s="133">
        <f>0</f>
        <v>0</v>
      </c>
      <c r="R13" s="133">
        <f>0</f>
        <v>0</v>
      </c>
      <c r="S13" s="133">
        <f>0</f>
        <v>0</v>
      </c>
      <c r="T13" s="133">
        <f>0</f>
        <v>0</v>
      </c>
      <c r="U13" s="133">
        <f>0</f>
        <v>0</v>
      </c>
      <c r="V13" s="133">
        <f>0</f>
        <v>0</v>
      </c>
      <c r="W13" s="133">
        <f>0</f>
        <v>0</v>
      </c>
      <c r="X13" s="133">
        <f>0</f>
        <v>0</v>
      </c>
      <c r="Y13" s="133">
        <f>0</f>
        <v>0</v>
      </c>
      <c r="Z13" s="133">
        <f>0</f>
        <v>0</v>
      </c>
      <c r="AA13" s="133">
        <f>0</f>
        <v>0</v>
      </c>
      <c r="AB13" s="133">
        <f>0</f>
        <v>0</v>
      </c>
      <c r="AC13" s="133">
        <f>0</f>
        <v>0</v>
      </c>
      <c r="AD13" s="133">
        <f>0</f>
        <v>0</v>
      </c>
      <c r="AE13" s="133">
        <f>0</f>
        <v>0</v>
      </c>
      <c r="AF13" s="133">
        <f>0</f>
        <v>0</v>
      </c>
      <c r="AG13" s="133">
        <f>0</f>
        <v>0</v>
      </c>
      <c r="AH13" s="133">
        <f>0</f>
        <v>0</v>
      </c>
      <c r="AI13" s="133">
        <f>0</f>
        <v>0</v>
      </c>
      <c r="AJ13" s="133">
        <f>0</f>
        <v>0</v>
      </c>
      <c r="AK13" s="133">
        <f>0</f>
        <v>0</v>
      </c>
      <c r="AL13" s="133">
        <f>0</f>
        <v>0</v>
      </c>
      <c r="AM13" s="133">
        <f>0</f>
        <v>0</v>
      </c>
      <c r="AN13" s="133">
        <f>0</f>
        <v>0</v>
      </c>
      <c r="AO13" s="133">
        <f>0</f>
        <v>0</v>
      </c>
    </row>
    <row r="14" spans="1:41" s="36" customFormat="1" ht="12">
      <c r="A14" s="110" t="s">
        <v>104</v>
      </c>
      <c r="B14" s="111" t="s">
        <v>4</v>
      </c>
      <c r="C14" s="112">
        <f>28381181</f>
        <v>28381181</v>
      </c>
      <c r="D14" s="112">
        <f>29109540</f>
        <v>29109540</v>
      </c>
      <c r="E14" s="112">
        <f>29749950</f>
        <v>29749950</v>
      </c>
      <c r="F14" s="112">
        <f>30642448</f>
        <v>30642448</v>
      </c>
      <c r="G14" s="112">
        <f>31561722</f>
        <v>31561722</v>
      </c>
      <c r="H14" s="112">
        <f>32508574</f>
        <v>32508574</v>
      </c>
      <c r="I14" s="112">
        <f>33483831</f>
        <v>33483831</v>
      </c>
      <c r="J14" s="112">
        <f>34488346</f>
        <v>34488346</v>
      </c>
      <c r="K14" s="112">
        <f>35522996</f>
        <v>35522996</v>
      </c>
      <c r="L14" s="112">
        <f>0</f>
        <v>0</v>
      </c>
      <c r="M14" s="112">
        <f>0</f>
        <v>0</v>
      </c>
      <c r="N14" s="112">
        <f>0</f>
        <v>0</v>
      </c>
      <c r="O14" s="112">
        <f>0</f>
        <v>0</v>
      </c>
      <c r="P14" s="112">
        <f>0</f>
        <v>0</v>
      </c>
      <c r="Q14" s="112">
        <f>0</f>
        <v>0</v>
      </c>
      <c r="R14" s="112">
        <f>0</f>
        <v>0</v>
      </c>
      <c r="S14" s="112">
        <f>0</f>
        <v>0</v>
      </c>
      <c r="T14" s="112">
        <f>0</f>
        <v>0</v>
      </c>
      <c r="U14" s="112">
        <f>0</f>
        <v>0</v>
      </c>
      <c r="V14" s="112">
        <f>0</f>
        <v>0</v>
      </c>
      <c r="W14" s="112">
        <f>0</f>
        <v>0</v>
      </c>
      <c r="X14" s="112">
        <f>0</f>
        <v>0</v>
      </c>
      <c r="Y14" s="112">
        <f>0</f>
        <v>0</v>
      </c>
      <c r="Z14" s="112">
        <f>0</f>
        <v>0</v>
      </c>
      <c r="AA14" s="112">
        <f>0</f>
        <v>0</v>
      </c>
      <c r="AB14" s="112">
        <f>0</f>
        <v>0</v>
      </c>
      <c r="AC14" s="112">
        <f>0</f>
        <v>0</v>
      </c>
      <c r="AD14" s="112">
        <f>0</f>
        <v>0</v>
      </c>
      <c r="AE14" s="112">
        <f>0</f>
        <v>0</v>
      </c>
      <c r="AF14" s="112">
        <f>0</f>
        <v>0</v>
      </c>
      <c r="AG14" s="112">
        <f>0</f>
        <v>0</v>
      </c>
      <c r="AH14" s="112">
        <f>0</f>
        <v>0</v>
      </c>
      <c r="AI14" s="112">
        <f>0</f>
        <v>0</v>
      </c>
      <c r="AJ14" s="112">
        <f>0</f>
        <v>0</v>
      </c>
      <c r="AK14" s="112">
        <f>0</f>
        <v>0</v>
      </c>
      <c r="AL14" s="112">
        <f>0</f>
        <v>0</v>
      </c>
      <c r="AM14" s="112">
        <f>0</f>
        <v>0</v>
      </c>
      <c r="AN14" s="112">
        <f>0</f>
        <v>0</v>
      </c>
      <c r="AO14" s="112">
        <f>0</f>
        <v>0</v>
      </c>
    </row>
    <row r="15" spans="1:41" s="36" customFormat="1" ht="12">
      <c r="A15" s="110" t="s">
        <v>106</v>
      </c>
      <c r="B15" s="111" t="s">
        <v>5</v>
      </c>
      <c r="C15" s="112">
        <f>7392346</f>
        <v>7392346</v>
      </c>
      <c r="D15" s="112">
        <f>7400000</f>
        <v>7400000</v>
      </c>
      <c r="E15" s="112">
        <f>7400000</f>
        <v>7400000</v>
      </c>
      <c r="F15" s="112">
        <f>7554605</f>
        <v>7554605</v>
      </c>
      <c r="G15" s="112">
        <f>7705697</f>
        <v>7705697</v>
      </c>
      <c r="H15" s="112">
        <f>7859811</f>
        <v>7859811</v>
      </c>
      <c r="I15" s="112">
        <f>8017007</f>
        <v>8017007</v>
      </c>
      <c r="J15" s="112">
        <f>8177347</f>
        <v>8177347</v>
      </c>
      <c r="K15" s="112">
        <f>8340894</f>
        <v>8340894</v>
      </c>
      <c r="L15" s="112">
        <f>0</f>
        <v>0</v>
      </c>
      <c r="M15" s="112">
        <f>0</f>
        <v>0</v>
      </c>
      <c r="N15" s="112">
        <f>0</f>
        <v>0</v>
      </c>
      <c r="O15" s="112">
        <f>0</f>
        <v>0</v>
      </c>
      <c r="P15" s="112">
        <f>0</f>
        <v>0</v>
      </c>
      <c r="Q15" s="112">
        <f>0</f>
        <v>0</v>
      </c>
      <c r="R15" s="112">
        <f>0</f>
        <v>0</v>
      </c>
      <c r="S15" s="112">
        <f>0</f>
        <v>0</v>
      </c>
      <c r="T15" s="112">
        <f>0</f>
        <v>0</v>
      </c>
      <c r="U15" s="112">
        <f>0</f>
        <v>0</v>
      </c>
      <c r="V15" s="112">
        <f>0</f>
        <v>0</v>
      </c>
      <c r="W15" s="112">
        <f>0</f>
        <v>0</v>
      </c>
      <c r="X15" s="112">
        <f>0</f>
        <v>0</v>
      </c>
      <c r="Y15" s="112">
        <f>0</f>
        <v>0</v>
      </c>
      <c r="Z15" s="112">
        <f>0</f>
        <v>0</v>
      </c>
      <c r="AA15" s="112">
        <f>0</f>
        <v>0</v>
      </c>
      <c r="AB15" s="112">
        <f>0</f>
        <v>0</v>
      </c>
      <c r="AC15" s="112">
        <f>0</f>
        <v>0</v>
      </c>
      <c r="AD15" s="112">
        <f>0</f>
        <v>0</v>
      </c>
      <c r="AE15" s="112">
        <f>0</f>
        <v>0</v>
      </c>
      <c r="AF15" s="112">
        <f>0</f>
        <v>0</v>
      </c>
      <c r="AG15" s="112">
        <f>0</f>
        <v>0</v>
      </c>
      <c r="AH15" s="112">
        <f>0</f>
        <v>0</v>
      </c>
      <c r="AI15" s="112">
        <f>0</f>
        <v>0</v>
      </c>
      <c r="AJ15" s="112">
        <f>0</f>
        <v>0</v>
      </c>
      <c r="AK15" s="112">
        <f>0</f>
        <v>0</v>
      </c>
      <c r="AL15" s="112">
        <f>0</f>
        <v>0</v>
      </c>
      <c r="AM15" s="112">
        <f>0</f>
        <v>0</v>
      </c>
      <c r="AN15" s="112">
        <f>0</f>
        <v>0</v>
      </c>
      <c r="AO15" s="112">
        <f>0</f>
        <v>0</v>
      </c>
    </row>
    <row r="16" spans="1:41" s="36" customFormat="1" ht="12">
      <c r="A16" s="110" t="s">
        <v>108</v>
      </c>
      <c r="B16" s="111" t="s">
        <v>156</v>
      </c>
      <c r="C16" s="112">
        <f>0</f>
        <v>0</v>
      </c>
      <c r="D16" s="112">
        <f>0</f>
        <v>0</v>
      </c>
      <c r="E16" s="112">
        <f>0</f>
        <v>0</v>
      </c>
      <c r="F16" s="112">
        <f>0</f>
        <v>0</v>
      </c>
      <c r="G16" s="112">
        <f>0</f>
        <v>0</v>
      </c>
      <c r="H16" s="112">
        <f>0</f>
        <v>0</v>
      </c>
      <c r="I16" s="112">
        <f>0</f>
        <v>0</v>
      </c>
      <c r="J16" s="112">
        <f>0</f>
        <v>0</v>
      </c>
      <c r="K16" s="112">
        <f>0</f>
        <v>0</v>
      </c>
      <c r="L16" s="112">
        <f>0</f>
        <v>0</v>
      </c>
      <c r="M16" s="112">
        <f>0</f>
        <v>0</v>
      </c>
      <c r="N16" s="112">
        <f>0</f>
        <v>0</v>
      </c>
      <c r="O16" s="112">
        <f>0</f>
        <v>0</v>
      </c>
      <c r="P16" s="112">
        <f>0</f>
        <v>0</v>
      </c>
      <c r="Q16" s="112">
        <f>0</f>
        <v>0</v>
      </c>
      <c r="R16" s="112">
        <f>0</f>
        <v>0</v>
      </c>
      <c r="S16" s="112">
        <f>0</f>
        <v>0</v>
      </c>
      <c r="T16" s="112">
        <f>0</f>
        <v>0</v>
      </c>
      <c r="U16" s="112">
        <f>0</f>
        <v>0</v>
      </c>
      <c r="V16" s="112">
        <f>0</f>
        <v>0</v>
      </c>
      <c r="W16" s="112">
        <f>0</f>
        <v>0</v>
      </c>
      <c r="X16" s="112">
        <f>0</f>
        <v>0</v>
      </c>
      <c r="Y16" s="112">
        <f>0</f>
        <v>0</v>
      </c>
      <c r="Z16" s="112">
        <f>0</f>
        <v>0</v>
      </c>
      <c r="AA16" s="112">
        <f>0</f>
        <v>0</v>
      </c>
      <c r="AB16" s="112">
        <f>0</f>
        <v>0</v>
      </c>
      <c r="AC16" s="112">
        <f>0</f>
        <v>0</v>
      </c>
      <c r="AD16" s="112">
        <f>0</f>
        <v>0</v>
      </c>
      <c r="AE16" s="112">
        <f>0</f>
        <v>0</v>
      </c>
      <c r="AF16" s="112">
        <f>0</f>
        <v>0</v>
      </c>
      <c r="AG16" s="112">
        <f>0</f>
        <v>0</v>
      </c>
      <c r="AH16" s="112">
        <f>0</f>
        <v>0</v>
      </c>
      <c r="AI16" s="112">
        <f>0</f>
        <v>0</v>
      </c>
      <c r="AJ16" s="112">
        <f>0</f>
        <v>0</v>
      </c>
      <c r="AK16" s="112">
        <f>0</f>
        <v>0</v>
      </c>
      <c r="AL16" s="112">
        <f>0</f>
        <v>0</v>
      </c>
      <c r="AM16" s="112">
        <f>0</f>
        <v>0</v>
      </c>
      <c r="AN16" s="112">
        <f>0</f>
        <v>0</v>
      </c>
      <c r="AO16" s="112">
        <f>0</f>
        <v>0</v>
      </c>
    </row>
    <row r="17" spans="1:41" s="36" customFormat="1" ht="24">
      <c r="A17" s="110" t="s">
        <v>110</v>
      </c>
      <c r="B17" s="115" t="s">
        <v>155</v>
      </c>
      <c r="C17" s="112">
        <f>0</f>
        <v>0</v>
      </c>
      <c r="D17" s="112">
        <f>0</f>
        <v>0</v>
      </c>
      <c r="E17" s="112">
        <f>0</f>
        <v>0</v>
      </c>
      <c r="F17" s="112">
        <f>0</f>
        <v>0</v>
      </c>
      <c r="G17" s="112">
        <f>0</f>
        <v>0</v>
      </c>
      <c r="H17" s="112">
        <f>0</f>
        <v>0</v>
      </c>
      <c r="I17" s="112">
        <f>0</f>
        <v>0</v>
      </c>
      <c r="J17" s="112">
        <f>0</f>
        <v>0</v>
      </c>
      <c r="K17" s="112">
        <f>0</f>
        <v>0</v>
      </c>
      <c r="L17" s="112">
        <f>0</f>
        <v>0</v>
      </c>
      <c r="M17" s="112">
        <f>0</f>
        <v>0</v>
      </c>
      <c r="N17" s="112">
        <f>0</f>
        <v>0</v>
      </c>
      <c r="O17" s="112">
        <f>0</f>
        <v>0</v>
      </c>
      <c r="P17" s="112">
        <f>0</f>
        <v>0</v>
      </c>
      <c r="Q17" s="112">
        <f>0</f>
        <v>0</v>
      </c>
      <c r="R17" s="112">
        <f>0</f>
        <v>0</v>
      </c>
      <c r="S17" s="112">
        <f>0</f>
        <v>0</v>
      </c>
      <c r="T17" s="112">
        <f>0</f>
        <v>0</v>
      </c>
      <c r="U17" s="112">
        <f>0</f>
        <v>0</v>
      </c>
      <c r="V17" s="112">
        <f>0</f>
        <v>0</v>
      </c>
      <c r="W17" s="112">
        <f>0</f>
        <v>0</v>
      </c>
      <c r="X17" s="112">
        <f>0</f>
        <v>0</v>
      </c>
      <c r="Y17" s="112">
        <f>0</f>
        <v>0</v>
      </c>
      <c r="Z17" s="112">
        <f>0</f>
        <v>0</v>
      </c>
      <c r="AA17" s="112">
        <f>0</f>
        <v>0</v>
      </c>
      <c r="AB17" s="112">
        <f>0</f>
        <v>0</v>
      </c>
      <c r="AC17" s="112">
        <f>0</f>
        <v>0</v>
      </c>
      <c r="AD17" s="112">
        <f>0</f>
        <v>0</v>
      </c>
      <c r="AE17" s="112">
        <f>0</f>
        <v>0</v>
      </c>
      <c r="AF17" s="112">
        <f>0</f>
        <v>0</v>
      </c>
      <c r="AG17" s="112">
        <f>0</f>
        <v>0</v>
      </c>
      <c r="AH17" s="112">
        <f>0</f>
        <v>0</v>
      </c>
      <c r="AI17" s="112">
        <f>0</f>
        <v>0</v>
      </c>
      <c r="AJ17" s="112">
        <f>0</f>
        <v>0</v>
      </c>
      <c r="AK17" s="112">
        <f>0</f>
        <v>0</v>
      </c>
      <c r="AL17" s="112">
        <f>0</f>
        <v>0</v>
      </c>
      <c r="AM17" s="112">
        <f>0</f>
        <v>0</v>
      </c>
      <c r="AN17" s="112">
        <f>0</f>
        <v>0</v>
      </c>
      <c r="AO17" s="112">
        <f>0</f>
        <v>0</v>
      </c>
    </row>
    <row r="18" spans="1:41" s="36" customFormat="1" ht="12">
      <c r="A18" s="110" t="s">
        <v>112</v>
      </c>
      <c r="B18" s="111" t="s">
        <v>6</v>
      </c>
      <c r="C18" s="112">
        <f>834652</f>
        <v>834652</v>
      </c>
      <c r="D18" s="112">
        <f>635185</f>
        <v>635185</v>
      </c>
      <c r="E18" s="112">
        <f>480533</f>
        <v>480533</v>
      </c>
      <c r="F18" s="112">
        <f>538539</f>
        <v>538539</v>
      </c>
      <c r="G18" s="112">
        <f>563910</f>
        <v>563910</v>
      </c>
      <c r="H18" s="112">
        <f>513344</f>
        <v>513344</v>
      </c>
      <c r="I18" s="112">
        <f>571899.02</f>
        <v>571899.02</v>
      </c>
      <c r="J18" s="112">
        <f>0</f>
        <v>0</v>
      </c>
      <c r="K18" s="112">
        <f>0</f>
        <v>0</v>
      </c>
      <c r="L18" s="112">
        <f>0</f>
        <v>0</v>
      </c>
      <c r="M18" s="112">
        <f>0</f>
        <v>0</v>
      </c>
      <c r="N18" s="112">
        <f>0</f>
        <v>0</v>
      </c>
      <c r="O18" s="112">
        <f>0</f>
        <v>0</v>
      </c>
      <c r="P18" s="112">
        <f>0</f>
        <v>0</v>
      </c>
      <c r="Q18" s="112">
        <f>0</f>
        <v>0</v>
      </c>
      <c r="R18" s="112">
        <f>0</f>
        <v>0</v>
      </c>
      <c r="S18" s="112">
        <f>0</f>
        <v>0</v>
      </c>
      <c r="T18" s="112">
        <f>0</f>
        <v>0</v>
      </c>
      <c r="U18" s="112">
        <f>0</f>
        <v>0</v>
      </c>
      <c r="V18" s="112">
        <f>0</f>
        <v>0</v>
      </c>
      <c r="W18" s="112">
        <f>0</f>
        <v>0</v>
      </c>
      <c r="X18" s="112">
        <f>0</f>
        <v>0</v>
      </c>
      <c r="Y18" s="112">
        <f>0</f>
        <v>0</v>
      </c>
      <c r="Z18" s="112">
        <f>0</f>
        <v>0</v>
      </c>
      <c r="AA18" s="112">
        <f>0</f>
        <v>0</v>
      </c>
      <c r="AB18" s="112">
        <f>0</f>
        <v>0</v>
      </c>
      <c r="AC18" s="112">
        <f>0</f>
        <v>0</v>
      </c>
      <c r="AD18" s="112">
        <f>0</f>
        <v>0</v>
      </c>
      <c r="AE18" s="112">
        <f>0</f>
        <v>0</v>
      </c>
      <c r="AF18" s="112">
        <f>0</f>
        <v>0</v>
      </c>
      <c r="AG18" s="112">
        <f>0</f>
        <v>0</v>
      </c>
      <c r="AH18" s="112">
        <f>0</f>
        <v>0</v>
      </c>
      <c r="AI18" s="112">
        <f>0</f>
        <v>0</v>
      </c>
      <c r="AJ18" s="112">
        <f>0</f>
        <v>0</v>
      </c>
      <c r="AK18" s="112">
        <f>0</f>
        <v>0</v>
      </c>
      <c r="AL18" s="112">
        <f>0</f>
        <v>0</v>
      </c>
      <c r="AM18" s="112">
        <f>0</f>
        <v>0</v>
      </c>
      <c r="AN18" s="112">
        <f>0</f>
        <v>0</v>
      </c>
      <c r="AO18" s="112">
        <f>0</f>
        <v>0</v>
      </c>
    </row>
    <row r="19" spans="1:41" s="36" customFormat="1" ht="24">
      <c r="A19" s="134" t="s">
        <v>114</v>
      </c>
      <c r="B19" s="137" t="s">
        <v>154</v>
      </c>
      <c r="C19" s="136">
        <f>450647</f>
        <v>450647</v>
      </c>
      <c r="D19" s="136">
        <f>201504</f>
        <v>201504</v>
      </c>
      <c r="E19" s="136">
        <f>0</f>
        <v>0</v>
      </c>
      <c r="F19" s="136">
        <f>0</f>
        <v>0</v>
      </c>
      <c r="G19" s="136">
        <f>0</f>
        <v>0</v>
      </c>
      <c r="H19" s="136">
        <f>0</f>
        <v>0</v>
      </c>
      <c r="I19" s="136">
        <f>0</f>
        <v>0</v>
      </c>
      <c r="J19" s="136">
        <f>0</f>
        <v>0</v>
      </c>
      <c r="K19" s="136">
        <f>0</f>
        <v>0</v>
      </c>
      <c r="L19" s="136">
        <f>0</f>
        <v>0</v>
      </c>
      <c r="M19" s="136">
        <f>0</f>
        <v>0</v>
      </c>
      <c r="N19" s="136">
        <f>0</f>
        <v>0</v>
      </c>
      <c r="O19" s="136">
        <f>0</f>
        <v>0</v>
      </c>
      <c r="P19" s="136">
        <f>0</f>
        <v>0</v>
      </c>
      <c r="Q19" s="136">
        <f>0</f>
        <v>0</v>
      </c>
      <c r="R19" s="136">
        <f>0</f>
        <v>0</v>
      </c>
      <c r="S19" s="136">
        <f>0</f>
        <v>0</v>
      </c>
      <c r="T19" s="136">
        <f>0</f>
        <v>0</v>
      </c>
      <c r="U19" s="136">
        <f>0</f>
        <v>0</v>
      </c>
      <c r="V19" s="136">
        <f>0</f>
        <v>0</v>
      </c>
      <c r="W19" s="136">
        <f>0</f>
        <v>0</v>
      </c>
      <c r="X19" s="136">
        <f>0</f>
        <v>0</v>
      </c>
      <c r="Y19" s="136">
        <f>0</f>
        <v>0</v>
      </c>
      <c r="Z19" s="136">
        <f>0</f>
        <v>0</v>
      </c>
      <c r="AA19" s="136">
        <f>0</f>
        <v>0</v>
      </c>
      <c r="AB19" s="136">
        <f>0</f>
        <v>0</v>
      </c>
      <c r="AC19" s="136">
        <f>0</f>
        <v>0</v>
      </c>
      <c r="AD19" s="136">
        <f>0</f>
        <v>0</v>
      </c>
      <c r="AE19" s="136">
        <f>0</f>
        <v>0</v>
      </c>
      <c r="AF19" s="136">
        <f>0</f>
        <v>0</v>
      </c>
      <c r="AG19" s="136">
        <f>0</f>
        <v>0</v>
      </c>
      <c r="AH19" s="136">
        <f>0</f>
        <v>0</v>
      </c>
      <c r="AI19" s="136">
        <f>0</f>
        <v>0</v>
      </c>
      <c r="AJ19" s="136">
        <f>0</f>
        <v>0</v>
      </c>
      <c r="AK19" s="136">
        <f>0</f>
        <v>0</v>
      </c>
      <c r="AL19" s="136">
        <f>0</f>
        <v>0</v>
      </c>
      <c r="AM19" s="136">
        <f>0</f>
        <v>0</v>
      </c>
      <c r="AN19" s="136">
        <f>0</f>
        <v>0</v>
      </c>
      <c r="AO19" s="136">
        <f>0</f>
        <v>0</v>
      </c>
    </row>
    <row r="20" spans="1:41" s="36" customFormat="1" ht="12">
      <c r="A20" s="105">
        <v>3</v>
      </c>
      <c r="B20" s="56" t="s">
        <v>116</v>
      </c>
      <c r="C20" s="106">
        <f>3778772</f>
        <v>3778772</v>
      </c>
      <c r="D20" s="106">
        <f>7485523</f>
        <v>7485523</v>
      </c>
      <c r="E20" s="106">
        <f>6048665</f>
        <v>6048665</v>
      </c>
      <c r="F20" s="106">
        <f>6352760</f>
        <v>6352760</v>
      </c>
      <c r="G20" s="106">
        <f>7200246</f>
        <v>7200246</v>
      </c>
      <c r="H20" s="106">
        <f>8093022</f>
        <v>8093022</v>
      </c>
      <c r="I20" s="106">
        <f>9033064</f>
        <v>9033064</v>
      </c>
      <c r="J20" s="106">
        <f>10022428</f>
        <v>10022428</v>
      </c>
      <c r="K20" s="106">
        <f>11063249</f>
        <v>11063249</v>
      </c>
      <c r="L20" s="106">
        <f>0</f>
        <v>0</v>
      </c>
      <c r="M20" s="106">
        <f>0</f>
        <v>0</v>
      </c>
      <c r="N20" s="106">
        <f>0</f>
        <v>0</v>
      </c>
      <c r="O20" s="106">
        <f>0</f>
        <v>0</v>
      </c>
      <c r="P20" s="106">
        <f>0</f>
        <v>0</v>
      </c>
      <c r="Q20" s="106">
        <f>0</f>
        <v>0</v>
      </c>
      <c r="R20" s="106">
        <f>0</f>
        <v>0</v>
      </c>
      <c r="S20" s="106">
        <f>0</f>
        <v>0</v>
      </c>
      <c r="T20" s="106">
        <f>0</f>
        <v>0</v>
      </c>
      <c r="U20" s="106">
        <f>0</f>
        <v>0</v>
      </c>
      <c r="V20" s="106">
        <f>0</f>
        <v>0</v>
      </c>
      <c r="W20" s="106">
        <f>0</f>
        <v>0</v>
      </c>
      <c r="X20" s="106">
        <f>0</f>
        <v>0</v>
      </c>
      <c r="Y20" s="106">
        <f>0</f>
        <v>0</v>
      </c>
      <c r="Z20" s="106">
        <f>0</f>
        <v>0</v>
      </c>
      <c r="AA20" s="106">
        <f>0</f>
        <v>0</v>
      </c>
      <c r="AB20" s="106">
        <f>0</f>
        <v>0</v>
      </c>
      <c r="AC20" s="106">
        <f>0</f>
        <v>0</v>
      </c>
      <c r="AD20" s="106">
        <f>0</f>
        <v>0</v>
      </c>
      <c r="AE20" s="106">
        <f>0</f>
        <v>0</v>
      </c>
      <c r="AF20" s="106">
        <f>0</f>
        <v>0</v>
      </c>
      <c r="AG20" s="106">
        <f>0</f>
        <v>0</v>
      </c>
      <c r="AH20" s="106">
        <f>0</f>
        <v>0</v>
      </c>
      <c r="AI20" s="106">
        <f>0</f>
        <v>0</v>
      </c>
      <c r="AJ20" s="106">
        <f>0</f>
        <v>0</v>
      </c>
      <c r="AK20" s="106">
        <f>0</f>
        <v>0</v>
      </c>
      <c r="AL20" s="106">
        <f>0</f>
        <v>0</v>
      </c>
      <c r="AM20" s="106">
        <f>0</f>
        <v>0</v>
      </c>
      <c r="AN20" s="106">
        <f>0</f>
        <v>0</v>
      </c>
      <c r="AO20" s="106">
        <f>0</f>
        <v>0</v>
      </c>
    </row>
    <row r="21" spans="1:41" s="36" customFormat="1" ht="24">
      <c r="A21" s="131">
        <v>4</v>
      </c>
      <c r="B21" s="132" t="s">
        <v>60</v>
      </c>
      <c r="C21" s="133">
        <f>2128239</f>
        <v>2128239</v>
      </c>
      <c r="D21" s="133">
        <f>0</f>
        <v>0</v>
      </c>
      <c r="E21" s="133">
        <f>0</f>
        <v>0</v>
      </c>
      <c r="F21" s="133">
        <f>0</f>
        <v>0</v>
      </c>
      <c r="G21" s="133">
        <f>0</f>
        <v>0</v>
      </c>
      <c r="H21" s="133">
        <f>0</f>
        <v>0</v>
      </c>
      <c r="I21" s="133">
        <f>0</f>
        <v>0</v>
      </c>
      <c r="J21" s="133">
        <f>0</f>
        <v>0</v>
      </c>
      <c r="K21" s="133">
        <f>0</f>
        <v>0</v>
      </c>
      <c r="L21" s="133">
        <f>0</f>
        <v>0</v>
      </c>
      <c r="M21" s="133">
        <f>0</f>
        <v>0</v>
      </c>
      <c r="N21" s="133">
        <f>0</f>
        <v>0</v>
      </c>
      <c r="O21" s="133">
        <f>0</f>
        <v>0</v>
      </c>
      <c r="P21" s="133">
        <f>0</f>
        <v>0</v>
      </c>
      <c r="Q21" s="133">
        <f>0</f>
        <v>0</v>
      </c>
      <c r="R21" s="133">
        <f>0</f>
        <v>0</v>
      </c>
      <c r="S21" s="133">
        <f>0</f>
        <v>0</v>
      </c>
      <c r="T21" s="133">
        <f>0</f>
        <v>0</v>
      </c>
      <c r="U21" s="133">
        <f>0</f>
        <v>0</v>
      </c>
      <c r="V21" s="133">
        <f>0</f>
        <v>0</v>
      </c>
      <c r="W21" s="133">
        <f>0</f>
        <v>0</v>
      </c>
      <c r="X21" s="133">
        <f>0</f>
        <v>0</v>
      </c>
      <c r="Y21" s="133">
        <f>0</f>
        <v>0</v>
      </c>
      <c r="Z21" s="133">
        <f>0</f>
        <v>0</v>
      </c>
      <c r="AA21" s="133">
        <f>0</f>
        <v>0</v>
      </c>
      <c r="AB21" s="133">
        <f>0</f>
        <v>0</v>
      </c>
      <c r="AC21" s="133">
        <f>0</f>
        <v>0</v>
      </c>
      <c r="AD21" s="133">
        <f>0</f>
        <v>0</v>
      </c>
      <c r="AE21" s="133">
        <f>0</f>
        <v>0</v>
      </c>
      <c r="AF21" s="133">
        <f>0</f>
        <v>0</v>
      </c>
      <c r="AG21" s="133">
        <f>0</f>
        <v>0</v>
      </c>
      <c r="AH21" s="133">
        <f>0</f>
        <v>0</v>
      </c>
      <c r="AI21" s="133">
        <f>0</f>
        <v>0</v>
      </c>
      <c r="AJ21" s="133">
        <f>0</f>
        <v>0</v>
      </c>
      <c r="AK21" s="133">
        <f>0</f>
        <v>0</v>
      </c>
      <c r="AL21" s="133">
        <f>0</f>
        <v>0</v>
      </c>
      <c r="AM21" s="133">
        <f>0</f>
        <v>0</v>
      </c>
      <c r="AN21" s="133">
        <f>0</f>
        <v>0</v>
      </c>
      <c r="AO21" s="133">
        <f>0</f>
        <v>0</v>
      </c>
    </row>
    <row r="22" spans="1:41" s="36" customFormat="1" ht="12">
      <c r="A22" s="134" t="s">
        <v>117</v>
      </c>
      <c r="B22" s="137" t="s">
        <v>61</v>
      </c>
      <c r="C22" s="136">
        <f>0</f>
        <v>0</v>
      </c>
      <c r="D22" s="136">
        <f>0</f>
        <v>0</v>
      </c>
      <c r="E22" s="136">
        <f>0</f>
        <v>0</v>
      </c>
      <c r="F22" s="136">
        <f>0</f>
        <v>0</v>
      </c>
      <c r="G22" s="136">
        <f>0</f>
        <v>0</v>
      </c>
      <c r="H22" s="136">
        <f>0</f>
        <v>0</v>
      </c>
      <c r="I22" s="136">
        <f>0</f>
        <v>0</v>
      </c>
      <c r="J22" s="136">
        <f>0</f>
        <v>0</v>
      </c>
      <c r="K22" s="136">
        <f>0</f>
        <v>0</v>
      </c>
      <c r="L22" s="136">
        <f>0</f>
        <v>0</v>
      </c>
      <c r="M22" s="136">
        <f>0</f>
        <v>0</v>
      </c>
      <c r="N22" s="136">
        <f>0</f>
        <v>0</v>
      </c>
      <c r="O22" s="136">
        <f>0</f>
        <v>0</v>
      </c>
      <c r="P22" s="136">
        <f>0</f>
        <v>0</v>
      </c>
      <c r="Q22" s="136">
        <f>0</f>
        <v>0</v>
      </c>
      <c r="R22" s="136">
        <f>0</f>
        <v>0</v>
      </c>
      <c r="S22" s="136">
        <f>0</f>
        <v>0</v>
      </c>
      <c r="T22" s="136">
        <f>0</f>
        <v>0</v>
      </c>
      <c r="U22" s="136">
        <f>0</f>
        <v>0</v>
      </c>
      <c r="V22" s="136">
        <f>0</f>
        <v>0</v>
      </c>
      <c r="W22" s="136">
        <f>0</f>
        <v>0</v>
      </c>
      <c r="X22" s="136">
        <f>0</f>
        <v>0</v>
      </c>
      <c r="Y22" s="136">
        <f>0</f>
        <v>0</v>
      </c>
      <c r="Z22" s="136">
        <f>0</f>
        <v>0</v>
      </c>
      <c r="AA22" s="136">
        <f>0</f>
        <v>0</v>
      </c>
      <c r="AB22" s="136">
        <f>0</f>
        <v>0</v>
      </c>
      <c r="AC22" s="136">
        <f>0</f>
        <v>0</v>
      </c>
      <c r="AD22" s="136">
        <f>0</f>
        <v>0</v>
      </c>
      <c r="AE22" s="136">
        <f>0</f>
        <v>0</v>
      </c>
      <c r="AF22" s="136">
        <f>0</f>
        <v>0</v>
      </c>
      <c r="AG22" s="136">
        <f>0</f>
        <v>0</v>
      </c>
      <c r="AH22" s="136">
        <f>0</f>
        <v>0</v>
      </c>
      <c r="AI22" s="136">
        <f>0</f>
        <v>0</v>
      </c>
      <c r="AJ22" s="136">
        <f>0</f>
        <v>0</v>
      </c>
      <c r="AK22" s="136">
        <f>0</f>
        <v>0</v>
      </c>
      <c r="AL22" s="136">
        <f>0</f>
        <v>0</v>
      </c>
      <c r="AM22" s="136">
        <f>0</f>
        <v>0</v>
      </c>
      <c r="AN22" s="136">
        <f>0</f>
        <v>0</v>
      </c>
      <c r="AO22" s="136">
        <f>0</f>
        <v>0</v>
      </c>
    </row>
    <row r="23" spans="1:41" s="36" customFormat="1" ht="12">
      <c r="A23" s="131">
        <v>5</v>
      </c>
      <c r="B23" s="132" t="s">
        <v>119</v>
      </c>
      <c r="C23" s="133">
        <f>0</f>
        <v>0</v>
      </c>
      <c r="D23" s="133">
        <f>0</f>
        <v>0</v>
      </c>
      <c r="E23" s="133">
        <f>0</f>
        <v>0</v>
      </c>
      <c r="F23" s="133">
        <f>0</f>
        <v>0</v>
      </c>
      <c r="G23" s="133">
        <f>0</f>
        <v>0</v>
      </c>
      <c r="H23" s="133">
        <f>0</f>
        <v>0</v>
      </c>
      <c r="I23" s="133">
        <f>0</f>
        <v>0</v>
      </c>
      <c r="J23" s="133">
        <f>0</f>
        <v>0</v>
      </c>
      <c r="K23" s="133">
        <f>0</f>
        <v>0</v>
      </c>
      <c r="L23" s="133">
        <f>0</f>
        <v>0</v>
      </c>
      <c r="M23" s="133">
        <f>0</f>
        <v>0</v>
      </c>
      <c r="N23" s="133">
        <f>0</f>
        <v>0</v>
      </c>
      <c r="O23" s="133">
        <f>0</f>
        <v>0</v>
      </c>
      <c r="P23" s="133">
        <f>0</f>
        <v>0</v>
      </c>
      <c r="Q23" s="133">
        <f>0</f>
        <v>0</v>
      </c>
      <c r="R23" s="133">
        <f>0</f>
        <v>0</v>
      </c>
      <c r="S23" s="133">
        <f>0</f>
        <v>0</v>
      </c>
      <c r="T23" s="133">
        <f>0</f>
        <v>0</v>
      </c>
      <c r="U23" s="133">
        <f>0</f>
        <v>0</v>
      </c>
      <c r="V23" s="133">
        <f>0</f>
        <v>0</v>
      </c>
      <c r="W23" s="133">
        <f>0</f>
        <v>0</v>
      </c>
      <c r="X23" s="133">
        <f>0</f>
        <v>0</v>
      </c>
      <c r="Y23" s="133">
        <f>0</f>
        <v>0</v>
      </c>
      <c r="Z23" s="133">
        <f>0</f>
        <v>0</v>
      </c>
      <c r="AA23" s="133">
        <f>0</f>
        <v>0</v>
      </c>
      <c r="AB23" s="133">
        <f>0</f>
        <v>0</v>
      </c>
      <c r="AC23" s="133">
        <f>0</f>
        <v>0</v>
      </c>
      <c r="AD23" s="133">
        <f>0</f>
        <v>0</v>
      </c>
      <c r="AE23" s="133">
        <f>0</f>
        <v>0</v>
      </c>
      <c r="AF23" s="133">
        <f>0</f>
        <v>0</v>
      </c>
      <c r="AG23" s="133">
        <f>0</f>
        <v>0</v>
      </c>
      <c r="AH23" s="133">
        <f>0</f>
        <v>0</v>
      </c>
      <c r="AI23" s="133">
        <f>0</f>
        <v>0</v>
      </c>
      <c r="AJ23" s="133">
        <f>0</f>
        <v>0</v>
      </c>
      <c r="AK23" s="133">
        <f>0</f>
        <v>0</v>
      </c>
      <c r="AL23" s="133">
        <f>0</f>
        <v>0</v>
      </c>
      <c r="AM23" s="133">
        <f>0</f>
        <v>0</v>
      </c>
      <c r="AN23" s="133">
        <f>0</f>
        <v>0</v>
      </c>
      <c r="AO23" s="133">
        <f>0</f>
        <v>0</v>
      </c>
    </row>
    <row r="24" spans="1:41" s="36" customFormat="1" ht="12">
      <c r="A24" s="134" t="s">
        <v>120</v>
      </c>
      <c r="B24" s="137" t="s">
        <v>61</v>
      </c>
      <c r="C24" s="136">
        <f>0</f>
        <v>0</v>
      </c>
      <c r="D24" s="136">
        <f>0</f>
        <v>0</v>
      </c>
      <c r="E24" s="136">
        <f>0</f>
        <v>0</v>
      </c>
      <c r="F24" s="136">
        <f>0</f>
        <v>0</v>
      </c>
      <c r="G24" s="136">
        <f>0</f>
        <v>0</v>
      </c>
      <c r="H24" s="136">
        <f>0</f>
        <v>0</v>
      </c>
      <c r="I24" s="136">
        <f>0</f>
        <v>0</v>
      </c>
      <c r="J24" s="136">
        <f>0</f>
        <v>0</v>
      </c>
      <c r="K24" s="136">
        <f>0</f>
        <v>0</v>
      </c>
      <c r="L24" s="136">
        <f>0</f>
        <v>0</v>
      </c>
      <c r="M24" s="136">
        <f>0</f>
        <v>0</v>
      </c>
      <c r="N24" s="136">
        <f>0</f>
        <v>0</v>
      </c>
      <c r="O24" s="136">
        <f>0</f>
        <v>0</v>
      </c>
      <c r="P24" s="136">
        <f>0</f>
        <v>0</v>
      </c>
      <c r="Q24" s="136">
        <f>0</f>
        <v>0</v>
      </c>
      <c r="R24" s="136">
        <f>0</f>
        <v>0</v>
      </c>
      <c r="S24" s="136">
        <f>0</f>
        <v>0</v>
      </c>
      <c r="T24" s="136">
        <f>0</f>
        <v>0</v>
      </c>
      <c r="U24" s="136">
        <f>0</f>
        <v>0</v>
      </c>
      <c r="V24" s="136">
        <f>0</f>
        <v>0</v>
      </c>
      <c r="W24" s="136">
        <f>0</f>
        <v>0</v>
      </c>
      <c r="X24" s="136">
        <f>0</f>
        <v>0</v>
      </c>
      <c r="Y24" s="136">
        <f>0</f>
        <v>0</v>
      </c>
      <c r="Z24" s="136">
        <f>0</f>
        <v>0</v>
      </c>
      <c r="AA24" s="136">
        <f>0</f>
        <v>0</v>
      </c>
      <c r="AB24" s="136">
        <f>0</f>
        <v>0</v>
      </c>
      <c r="AC24" s="136">
        <f>0</f>
        <v>0</v>
      </c>
      <c r="AD24" s="136">
        <f>0</f>
        <v>0</v>
      </c>
      <c r="AE24" s="136">
        <f>0</f>
        <v>0</v>
      </c>
      <c r="AF24" s="136">
        <f>0</f>
        <v>0</v>
      </c>
      <c r="AG24" s="136">
        <f>0</f>
        <v>0</v>
      </c>
      <c r="AH24" s="136">
        <f>0</f>
        <v>0</v>
      </c>
      <c r="AI24" s="136">
        <f>0</f>
        <v>0</v>
      </c>
      <c r="AJ24" s="136">
        <f>0</f>
        <v>0</v>
      </c>
      <c r="AK24" s="136">
        <f>0</f>
        <v>0</v>
      </c>
      <c r="AL24" s="136">
        <f>0</f>
        <v>0</v>
      </c>
      <c r="AM24" s="136">
        <f>0</f>
        <v>0</v>
      </c>
      <c r="AN24" s="136">
        <f>0</f>
        <v>0</v>
      </c>
      <c r="AO24" s="136">
        <f>0</f>
        <v>0</v>
      </c>
    </row>
    <row r="25" spans="1:41" s="36" customFormat="1" ht="12">
      <c r="A25" s="105">
        <v>6</v>
      </c>
      <c r="B25" s="56" t="s">
        <v>121</v>
      </c>
      <c r="C25" s="106">
        <f>5907011</f>
        <v>5907011</v>
      </c>
      <c r="D25" s="106">
        <f>7485523</f>
        <v>7485523</v>
      </c>
      <c r="E25" s="106">
        <f>6048665</f>
        <v>6048665</v>
      </c>
      <c r="F25" s="106">
        <f>6352760</f>
        <v>6352760</v>
      </c>
      <c r="G25" s="106">
        <f>7200246</f>
        <v>7200246</v>
      </c>
      <c r="H25" s="106">
        <f>8093022</f>
        <v>8093022</v>
      </c>
      <c r="I25" s="106">
        <f>9033064</f>
        <v>9033064</v>
      </c>
      <c r="J25" s="106">
        <f>10022428</f>
        <v>10022428</v>
      </c>
      <c r="K25" s="106">
        <f>11063249</f>
        <v>11063249</v>
      </c>
      <c r="L25" s="106">
        <f>0</f>
        <v>0</v>
      </c>
      <c r="M25" s="106">
        <f>0</f>
        <v>0</v>
      </c>
      <c r="N25" s="106">
        <f>0</f>
        <v>0</v>
      </c>
      <c r="O25" s="106">
        <f>0</f>
        <v>0</v>
      </c>
      <c r="P25" s="106">
        <f>0</f>
        <v>0</v>
      </c>
      <c r="Q25" s="106">
        <f>0</f>
        <v>0</v>
      </c>
      <c r="R25" s="106">
        <f>0</f>
        <v>0</v>
      </c>
      <c r="S25" s="106">
        <f>0</f>
        <v>0</v>
      </c>
      <c r="T25" s="106">
        <f>0</f>
        <v>0</v>
      </c>
      <c r="U25" s="106">
        <f>0</f>
        <v>0</v>
      </c>
      <c r="V25" s="106">
        <f>0</f>
        <v>0</v>
      </c>
      <c r="W25" s="106">
        <f>0</f>
        <v>0</v>
      </c>
      <c r="X25" s="106">
        <f>0</f>
        <v>0</v>
      </c>
      <c r="Y25" s="106">
        <f>0</f>
        <v>0</v>
      </c>
      <c r="Z25" s="106">
        <f>0</f>
        <v>0</v>
      </c>
      <c r="AA25" s="106">
        <f>0</f>
        <v>0</v>
      </c>
      <c r="AB25" s="106">
        <f>0</f>
        <v>0</v>
      </c>
      <c r="AC25" s="106">
        <f>0</f>
        <v>0</v>
      </c>
      <c r="AD25" s="106">
        <f>0</f>
        <v>0</v>
      </c>
      <c r="AE25" s="106">
        <f>0</f>
        <v>0</v>
      </c>
      <c r="AF25" s="106">
        <f>0</f>
        <v>0</v>
      </c>
      <c r="AG25" s="106">
        <f>0</f>
        <v>0</v>
      </c>
      <c r="AH25" s="106">
        <f>0</f>
        <v>0</v>
      </c>
      <c r="AI25" s="106">
        <f>0</f>
        <v>0</v>
      </c>
      <c r="AJ25" s="106">
        <f>0</f>
        <v>0</v>
      </c>
      <c r="AK25" s="106">
        <f>0</f>
        <v>0</v>
      </c>
      <c r="AL25" s="106">
        <f>0</f>
        <v>0</v>
      </c>
      <c r="AM25" s="106">
        <f>0</f>
        <v>0</v>
      </c>
      <c r="AN25" s="106">
        <f>0</f>
        <v>0</v>
      </c>
      <c r="AO25" s="106">
        <f>0</f>
        <v>0</v>
      </c>
    </row>
    <row r="26" spans="1:41" s="36" customFormat="1" ht="12">
      <c r="A26" s="131">
        <v>7</v>
      </c>
      <c r="B26" s="132" t="s">
        <v>12</v>
      </c>
      <c r="C26" s="133">
        <f>4554105</f>
        <v>4554105</v>
      </c>
      <c r="D26" s="133">
        <f>4051500</f>
        <v>4051500</v>
      </c>
      <c r="E26" s="133">
        <f>3222500</f>
        <v>3222500</v>
      </c>
      <c r="F26" s="133">
        <f>4306000</f>
        <v>4306000</v>
      </c>
      <c r="G26" s="133">
        <f>3287000</f>
        <v>3287000</v>
      </c>
      <c r="H26" s="133">
        <f>1882000</f>
        <v>1882000</v>
      </c>
      <c r="I26" s="133">
        <f>2279000</f>
        <v>2279000</v>
      </c>
      <c r="J26" s="133">
        <f>2170000</f>
        <v>2170000</v>
      </c>
      <c r="K26" s="133">
        <f>1571000</f>
        <v>1571000</v>
      </c>
      <c r="L26" s="133">
        <f>0</f>
        <v>0</v>
      </c>
      <c r="M26" s="133">
        <f>0</f>
        <v>0</v>
      </c>
      <c r="N26" s="133">
        <f>0</f>
        <v>0</v>
      </c>
      <c r="O26" s="133">
        <f>0</f>
        <v>0</v>
      </c>
      <c r="P26" s="133">
        <f>0</f>
        <v>0</v>
      </c>
      <c r="Q26" s="133">
        <f>0</f>
        <v>0</v>
      </c>
      <c r="R26" s="133">
        <f>0</f>
        <v>0</v>
      </c>
      <c r="S26" s="133">
        <f>0</f>
        <v>0</v>
      </c>
      <c r="T26" s="133">
        <f>0</f>
        <v>0</v>
      </c>
      <c r="U26" s="133">
        <f>0</f>
        <v>0</v>
      </c>
      <c r="V26" s="133">
        <f>0</f>
        <v>0</v>
      </c>
      <c r="W26" s="133">
        <f>0</f>
        <v>0</v>
      </c>
      <c r="X26" s="133">
        <f>0</f>
        <v>0</v>
      </c>
      <c r="Y26" s="133">
        <f>0</f>
        <v>0</v>
      </c>
      <c r="Z26" s="133">
        <f>0</f>
        <v>0</v>
      </c>
      <c r="AA26" s="133">
        <f>0</f>
        <v>0</v>
      </c>
      <c r="AB26" s="133">
        <f>0</f>
        <v>0</v>
      </c>
      <c r="AC26" s="133">
        <f>0</f>
        <v>0</v>
      </c>
      <c r="AD26" s="133">
        <f>0</f>
        <v>0</v>
      </c>
      <c r="AE26" s="133">
        <f>0</f>
        <v>0</v>
      </c>
      <c r="AF26" s="133">
        <f>0</f>
        <v>0</v>
      </c>
      <c r="AG26" s="133">
        <f>0</f>
        <v>0</v>
      </c>
      <c r="AH26" s="133">
        <f>0</f>
        <v>0</v>
      </c>
      <c r="AI26" s="133">
        <f>0</f>
        <v>0</v>
      </c>
      <c r="AJ26" s="133">
        <f>0</f>
        <v>0</v>
      </c>
      <c r="AK26" s="133">
        <f>0</f>
        <v>0</v>
      </c>
      <c r="AL26" s="133">
        <f>0</f>
        <v>0</v>
      </c>
      <c r="AM26" s="133">
        <f>0</f>
        <v>0</v>
      </c>
      <c r="AN26" s="133">
        <f>0</f>
        <v>0</v>
      </c>
      <c r="AO26" s="133">
        <f>0</f>
        <v>0</v>
      </c>
    </row>
    <row r="27" spans="1:41" s="36" customFormat="1" ht="24">
      <c r="A27" s="110" t="s">
        <v>122</v>
      </c>
      <c r="B27" s="116" t="s">
        <v>159</v>
      </c>
      <c r="C27" s="112">
        <f>3004105</f>
        <v>3004105</v>
      </c>
      <c r="D27" s="112">
        <f>3048000</f>
        <v>3048000</v>
      </c>
      <c r="E27" s="112">
        <f>2398000</f>
        <v>2398000</v>
      </c>
      <c r="F27" s="112">
        <f>3648000</f>
        <v>3648000</v>
      </c>
      <c r="G27" s="112">
        <f>2798000</f>
        <v>2798000</v>
      </c>
      <c r="H27" s="112">
        <f>1498000</f>
        <v>1498000</v>
      </c>
      <c r="I27" s="112">
        <f>1998000</f>
        <v>1998000</v>
      </c>
      <c r="J27" s="112">
        <f>1998000</f>
        <v>1998000</v>
      </c>
      <c r="K27" s="112">
        <f>1500000</f>
        <v>1500000</v>
      </c>
      <c r="L27" s="112">
        <f>0</f>
        <v>0</v>
      </c>
      <c r="M27" s="112">
        <f>0</f>
        <v>0</v>
      </c>
      <c r="N27" s="112">
        <f>0</f>
        <v>0</v>
      </c>
      <c r="O27" s="112">
        <f>0</f>
        <v>0</v>
      </c>
      <c r="P27" s="112">
        <f>0</f>
        <v>0</v>
      </c>
      <c r="Q27" s="112">
        <f>0</f>
        <v>0</v>
      </c>
      <c r="R27" s="112">
        <f>0</f>
        <v>0</v>
      </c>
      <c r="S27" s="112">
        <f>0</f>
        <v>0</v>
      </c>
      <c r="T27" s="112">
        <f>0</f>
        <v>0</v>
      </c>
      <c r="U27" s="112">
        <f>0</f>
        <v>0</v>
      </c>
      <c r="V27" s="112">
        <f>0</f>
        <v>0</v>
      </c>
      <c r="W27" s="112">
        <f>0</f>
        <v>0</v>
      </c>
      <c r="X27" s="112">
        <f>0</f>
        <v>0</v>
      </c>
      <c r="Y27" s="112">
        <f>0</f>
        <v>0</v>
      </c>
      <c r="Z27" s="112">
        <f>0</f>
        <v>0</v>
      </c>
      <c r="AA27" s="112">
        <f>0</f>
        <v>0</v>
      </c>
      <c r="AB27" s="112">
        <f>0</f>
        <v>0</v>
      </c>
      <c r="AC27" s="112">
        <f>0</f>
        <v>0</v>
      </c>
      <c r="AD27" s="112">
        <f>0</f>
        <v>0</v>
      </c>
      <c r="AE27" s="112">
        <f>0</f>
        <v>0</v>
      </c>
      <c r="AF27" s="112">
        <f>0</f>
        <v>0</v>
      </c>
      <c r="AG27" s="112">
        <f>0</f>
        <v>0</v>
      </c>
      <c r="AH27" s="112">
        <f>0</f>
        <v>0</v>
      </c>
      <c r="AI27" s="112">
        <f>0</f>
        <v>0</v>
      </c>
      <c r="AJ27" s="112">
        <f>0</f>
        <v>0</v>
      </c>
      <c r="AK27" s="112">
        <f>0</f>
        <v>0</v>
      </c>
      <c r="AL27" s="112">
        <f>0</f>
        <v>0</v>
      </c>
      <c r="AM27" s="112">
        <f>0</f>
        <v>0</v>
      </c>
      <c r="AN27" s="112">
        <f>0</f>
        <v>0</v>
      </c>
      <c r="AO27" s="112">
        <f>0</f>
        <v>0</v>
      </c>
    </row>
    <row r="28" spans="1:41" s="36" customFormat="1" ht="24">
      <c r="A28" s="110" t="s">
        <v>124</v>
      </c>
      <c r="B28" s="113" t="s">
        <v>157</v>
      </c>
      <c r="C28" s="112">
        <f>0</f>
        <v>0</v>
      </c>
      <c r="D28" s="112">
        <f>0</f>
        <v>0</v>
      </c>
      <c r="E28" s="112">
        <f>0</f>
        <v>0</v>
      </c>
      <c r="F28" s="112">
        <f>0</f>
        <v>0</v>
      </c>
      <c r="G28" s="112">
        <f>0</f>
        <v>0</v>
      </c>
      <c r="H28" s="112">
        <f>0</f>
        <v>0</v>
      </c>
      <c r="I28" s="112">
        <f>0</f>
        <v>0</v>
      </c>
      <c r="J28" s="112">
        <f>0</f>
        <v>0</v>
      </c>
      <c r="K28" s="112">
        <f>0</f>
        <v>0</v>
      </c>
      <c r="L28" s="112">
        <f>0</f>
        <v>0</v>
      </c>
      <c r="M28" s="112">
        <f>0</f>
        <v>0</v>
      </c>
      <c r="N28" s="112">
        <f>0</f>
        <v>0</v>
      </c>
      <c r="O28" s="112">
        <f>0</f>
        <v>0</v>
      </c>
      <c r="P28" s="112">
        <f>0</f>
        <v>0</v>
      </c>
      <c r="Q28" s="112">
        <f>0</f>
        <v>0</v>
      </c>
      <c r="R28" s="112">
        <f>0</f>
        <v>0</v>
      </c>
      <c r="S28" s="112">
        <f>0</f>
        <v>0</v>
      </c>
      <c r="T28" s="112">
        <f>0</f>
        <v>0</v>
      </c>
      <c r="U28" s="112">
        <f>0</f>
        <v>0</v>
      </c>
      <c r="V28" s="112">
        <f>0</f>
        <v>0</v>
      </c>
      <c r="W28" s="112">
        <f>0</f>
        <v>0</v>
      </c>
      <c r="X28" s="112">
        <f>0</f>
        <v>0</v>
      </c>
      <c r="Y28" s="112">
        <f>0</f>
        <v>0</v>
      </c>
      <c r="Z28" s="112">
        <f>0</f>
        <v>0</v>
      </c>
      <c r="AA28" s="112">
        <f>0</f>
        <v>0</v>
      </c>
      <c r="AB28" s="112">
        <f>0</f>
        <v>0</v>
      </c>
      <c r="AC28" s="112">
        <f>0</f>
        <v>0</v>
      </c>
      <c r="AD28" s="112">
        <f>0</f>
        <v>0</v>
      </c>
      <c r="AE28" s="112">
        <f>0</f>
        <v>0</v>
      </c>
      <c r="AF28" s="112">
        <f>0</f>
        <v>0</v>
      </c>
      <c r="AG28" s="112">
        <f>0</f>
        <v>0</v>
      </c>
      <c r="AH28" s="112">
        <f>0</f>
        <v>0</v>
      </c>
      <c r="AI28" s="112">
        <f>0</f>
        <v>0</v>
      </c>
      <c r="AJ28" s="112">
        <f>0</f>
        <v>0</v>
      </c>
      <c r="AK28" s="112">
        <f>0</f>
        <v>0</v>
      </c>
      <c r="AL28" s="112">
        <f>0</f>
        <v>0</v>
      </c>
      <c r="AM28" s="112">
        <f>0</f>
        <v>0</v>
      </c>
      <c r="AN28" s="112">
        <f>0</f>
        <v>0</v>
      </c>
      <c r="AO28" s="112">
        <f>0</f>
        <v>0</v>
      </c>
    </row>
    <row r="29" spans="1:41" s="36" customFormat="1" ht="12">
      <c r="A29" s="110" t="s">
        <v>126</v>
      </c>
      <c r="B29" s="111" t="s">
        <v>160</v>
      </c>
      <c r="C29" s="112">
        <f>1550000</f>
        <v>1550000</v>
      </c>
      <c r="D29" s="112">
        <f>1003500</f>
        <v>1003500</v>
      </c>
      <c r="E29" s="112">
        <f>824500</f>
        <v>824500</v>
      </c>
      <c r="F29" s="112">
        <f>658000</f>
        <v>658000</v>
      </c>
      <c r="G29" s="112">
        <f>489000</f>
        <v>489000</v>
      </c>
      <c r="H29" s="112">
        <f>384000</f>
        <v>384000</v>
      </c>
      <c r="I29" s="112">
        <f>281000</f>
        <v>281000</v>
      </c>
      <c r="J29" s="112">
        <f>172000</f>
        <v>172000</v>
      </c>
      <c r="K29" s="112">
        <f>71000</f>
        <v>71000</v>
      </c>
      <c r="L29" s="112">
        <f>0</f>
        <v>0</v>
      </c>
      <c r="M29" s="112">
        <f>0</f>
        <v>0</v>
      </c>
      <c r="N29" s="112">
        <f>0</f>
        <v>0</v>
      </c>
      <c r="O29" s="112">
        <f>0</f>
        <v>0</v>
      </c>
      <c r="P29" s="112">
        <f>0</f>
        <v>0</v>
      </c>
      <c r="Q29" s="112">
        <f>0</f>
        <v>0</v>
      </c>
      <c r="R29" s="112">
        <f>0</f>
        <v>0</v>
      </c>
      <c r="S29" s="112">
        <f>0</f>
        <v>0</v>
      </c>
      <c r="T29" s="112">
        <f>0</f>
        <v>0</v>
      </c>
      <c r="U29" s="112">
        <f>0</f>
        <v>0</v>
      </c>
      <c r="V29" s="112">
        <f>0</f>
        <v>0</v>
      </c>
      <c r="W29" s="112">
        <f>0</f>
        <v>0</v>
      </c>
      <c r="X29" s="112">
        <f>0</f>
        <v>0</v>
      </c>
      <c r="Y29" s="112">
        <f>0</f>
        <v>0</v>
      </c>
      <c r="Z29" s="112">
        <f>0</f>
        <v>0</v>
      </c>
      <c r="AA29" s="112">
        <f>0</f>
        <v>0</v>
      </c>
      <c r="AB29" s="112">
        <f>0</f>
        <v>0</v>
      </c>
      <c r="AC29" s="112">
        <f>0</f>
        <v>0</v>
      </c>
      <c r="AD29" s="112">
        <f>0</f>
        <v>0</v>
      </c>
      <c r="AE29" s="112">
        <f>0</f>
        <v>0</v>
      </c>
      <c r="AF29" s="112">
        <f>0</f>
        <v>0</v>
      </c>
      <c r="AG29" s="112">
        <f>0</f>
        <v>0</v>
      </c>
      <c r="AH29" s="112">
        <f>0</f>
        <v>0</v>
      </c>
      <c r="AI29" s="112">
        <f>0</f>
        <v>0</v>
      </c>
      <c r="AJ29" s="112">
        <f>0</f>
        <v>0</v>
      </c>
      <c r="AK29" s="112">
        <f>0</f>
        <v>0</v>
      </c>
      <c r="AL29" s="112">
        <f>0</f>
        <v>0</v>
      </c>
      <c r="AM29" s="112">
        <f>0</f>
        <v>0</v>
      </c>
      <c r="AN29" s="112">
        <f>0</f>
        <v>0</v>
      </c>
      <c r="AO29" s="112">
        <f>0</f>
        <v>0</v>
      </c>
    </row>
    <row r="30" spans="1:41" s="36" customFormat="1" ht="12">
      <c r="A30" s="134" t="s">
        <v>128</v>
      </c>
      <c r="B30" s="135" t="s">
        <v>158</v>
      </c>
      <c r="C30" s="136">
        <f>1550000</f>
        <v>1550000</v>
      </c>
      <c r="D30" s="136">
        <f>1003500</f>
        <v>1003500</v>
      </c>
      <c r="E30" s="136">
        <f>824500</f>
        <v>824500</v>
      </c>
      <c r="F30" s="136">
        <f>658000</f>
        <v>658000</v>
      </c>
      <c r="G30" s="136">
        <f>489000</f>
        <v>489000</v>
      </c>
      <c r="H30" s="136">
        <f>384000</f>
        <v>384000</v>
      </c>
      <c r="I30" s="136">
        <f>281000</f>
        <v>281000</v>
      </c>
      <c r="J30" s="136">
        <f>172000</f>
        <v>172000</v>
      </c>
      <c r="K30" s="136">
        <f>71000</f>
        <v>71000</v>
      </c>
      <c r="L30" s="136">
        <f>0</f>
        <v>0</v>
      </c>
      <c r="M30" s="136">
        <f>0</f>
        <v>0</v>
      </c>
      <c r="N30" s="136">
        <f>0</f>
        <v>0</v>
      </c>
      <c r="O30" s="136">
        <f>0</f>
        <v>0</v>
      </c>
      <c r="P30" s="136">
        <f>0</f>
        <v>0</v>
      </c>
      <c r="Q30" s="136">
        <f>0</f>
        <v>0</v>
      </c>
      <c r="R30" s="136">
        <f>0</f>
        <v>0</v>
      </c>
      <c r="S30" s="136">
        <f>0</f>
        <v>0</v>
      </c>
      <c r="T30" s="136">
        <f>0</f>
        <v>0</v>
      </c>
      <c r="U30" s="136">
        <f>0</f>
        <v>0</v>
      </c>
      <c r="V30" s="136">
        <f>0</f>
        <v>0</v>
      </c>
      <c r="W30" s="136">
        <f>0</f>
        <v>0</v>
      </c>
      <c r="X30" s="136">
        <f>0</f>
        <v>0</v>
      </c>
      <c r="Y30" s="136">
        <f>0</f>
        <v>0</v>
      </c>
      <c r="Z30" s="136">
        <f>0</f>
        <v>0</v>
      </c>
      <c r="AA30" s="136">
        <f>0</f>
        <v>0</v>
      </c>
      <c r="AB30" s="136">
        <f>0</f>
        <v>0</v>
      </c>
      <c r="AC30" s="136">
        <f>0</f>
        <v>0</v>
      </c>
      <c r="AD30" s="136">
        <f>0</f>
        <v>0</v>
      </c>
      <c r="AE30" s="136">
        <f>0</f>
        <v>0</v>
      </c>
      <c r="AF30" s="136">
        <f>0</f>
        <v>0</v>
      </c>
      <c r="AG30" s="136">
        <f>0</f>
        <v>0</v>
      </c>
      <c r="AH30" s="136">
        <f>0</f>
        <v>0</v>
      </c>
      <c r="AI30" s="136">
        <f>0</f>
        <v>0</v>
      </c>
      <c r="AJ30" s="136">
        <f>0</f>
        <v>0</v>
      </c>
      <c r="AK30" s="136">
        <f>0</f>
        <v>0</v>
      </c>
      <c r="AL30" s="136">
        <f>0</f>
        <v>0</v>
      </c>
      <c r="AM30" s="136">
        <f>0</f>
        <v>0</v>
      </c>
      <c r="AN30" s="136">
        <f>0</f>
        <v>0</v>
      </c>
      <c r="AO30" s="136">
        <f>0</f>
        <v>0</v>
      </c>
    </row>
    <row r="31" spans="1:41" s="36" customFormat="1" ht="12">
      <c r="A31" s="105">
        <v>8</v>
      </c>
      <c r="B31" s="107" t="s">
        <v>130</v>
      </c>
      <c r="C31" s="106">
        <f>0</f>
        <v>0</v>
      </c>
      <c r="D31" s="106">
        <f>0</f>
        <v>0</v>
      </c>
      <c r="E31" s="106">
        <f>0</f>
        <v>0</v>
      </c>
      <c r="F31" s="106">
        <f>0</f>
        <v>0</v>
      </c>
      <c r="G31" s="106">
        <f>0</f>
        <v>0</v>
      </c>
      <c r="H31" s="106">
        <f>0</f>
        <v>0</v>
      </c>
      <c r="I31" s="106">
        <f>0</f>
        <v>0</v>
      </c>
      <c r="J31" s="106">
        <f>0</f>
        <v>0</v>
      </c>
      <c r="K31" s="106">
        <f>0</f>
        <v>0</v>
      </c>
      <c r="L31" s="106">
        <f>0</f>
        <v>0</v>
      </c>
      <c r="M31" s="106">
        <f>0</f>
        <v>0</v>
      </c>
      <c r="N31" s="106">
        <f>0</f>
        <v>0</v>
      </c>
      <c r="O31" s="106">
        <f>0</f>
        <v>0</v>
      </c>
      <c r="P31" s="106">
        <f>0</f>
        <v>0</v>
      </c>
      <c r="Q31" s="106">
        <f>0</f>
        <v>0</v>
      </c>
      <c r="R31" s="106">
        <f>0</f>
        <v>0</v>
      </c>
      <c r="S31" s="106">
        <f>0</f>
        <v>0</v>
      </c>
      <c r="T31" s="106">
        <f>0</f>
        <v>0</v>
      </c>
      <c r="U31" s="106">
        <f>0</f>
        <v>0</v>
      </c>
      <c r="V31" s="106">
        <f>0</f>
        <v>0</v>
      </c>
      <c r="W31" s="106">
        <f>0</f>
        <v>0</v>
      </c>
      <c r="X31" s="106">
        <f>0</f>
        <v>0</v>
      </c>
      <c r="Y31" s="106">
        <f>0</f>
        <v>0</v>
      </c>
      <c r="Z31" s="106">
        <f>0</f>
        <v>0</v>
      </c>
      <c r="AA31" s="106">
        <f>0</f>
        <v>0</v>
      </c>
      <c r="AB31" s="106">
        <f>0</f>
        <v>0</v>
      </c>
      <c r="AC31" s="106">
        <f>0</f>
        <v>0</v>
      </c>
      <c r="AD31" s="106">
        <f>0</f>
        <v>0</v>
      </c>
      <c r="AE31" s="106">
        <f>0</f>
        <v>0</v>
      </c>
      <c r="AF31" s="106">
        <f>0</f>
        <v>0</v>
      </c>
      <c r="AG31" s="106">
        <f>0</f>
        <v>0</v>
      </c>
      <c r="AH31" s="106">
        <f>0</f>
        <v>0</v>
      </c>
      <c r="AI31" s="106">
        <f>0</f>
        <v>0</v>
      </c>
      <c r="AJ31" s="106">
        <f>0</f>
        <v>0</v>
      </c>
      <c r="AK31" s="106">
        <f>0</f>
        <v>0</v>
      </c>
      <c r="AL31" s="106">
        <f>0</f>
        <v>0</v>
      </c>
      <c r="AM31" s="106">
        <f>0</f>
        <v>0</v>
      </c>
      <c r="AN31" s="106">
        <f>0</f>
        <v>0</v>
      </c>
      <c r="AO31" s="106">
        <f>0</f>
        <v>0</v>
      </c>
    </row>
    <row r="32" spans="1:41" s="36" customFormat="1" ht="12">
      <c r="A32" s="105">
        <v>9</v>
      </c>
      <c r="B32" s="56" t="s">
        <v>131</v>
      </c>
      <c r="C32" s="106">
        <f>1352906</f>
        <v>1352906</v>
      </c>
      <c r="D32" s="106">
        <f>3434023</f>
        <v>3434023</v>
      </c>
      <c r="E32" s="106">
        <f>2826165</f>
        <v>2826165</v>
      </c>
      <c r="F32" s="106">
        <f>2046760</f>
        <v>2046760</v>
      </c>
      <c r="G32" s="106">
        <f>3913246</f>
        <v>3913246</v>
      </c>
      <c r="H32" s="106">
        <f>6211022</f>
        <v>6211022</v>
      </c>
      <c r="I32" s="106">
        <f>6754064</f>
        <v>6754064</v>
      </c>
      <c r="J32" s="106">
        <f>7852428</f>
        <v>7852428</v>
      </c>
      <c r="K32" s="106">
        <f>9492249</f>
        <v>9492249</v>
      </c>
      <c r="L32" s="106">
        <f>0</f>
        <v>0</v>
      </c>
      <c r="M32" s="106">
        <f>0</f>
        <v>0</v>
      </c>
      <c r="N32" s="106">
        <f>0</f>
        <v>0</v>
      </c>
      <c r="O32" s="106">
        <f>0</f>
        <v>0</v>
      </c>
      <c r="P32" s="106">
        <f>0</f>
        <v>0</v>
      </c>
      <c r="Q32" s="106">
        <f>0</f>
        <v>0</v>
      </c>
      <c r="R32" s="106">
        <f>0</f>
        <v>0</v>
      </c>
      <c r="S32" s="106">
        <f>0</f>
        <v>0</v>
      </c>
      <c r="T32" s="106">
        <f>0</f>
        <v>0</v>
      </c>
      <c r="U32" s="106">
        <f>0</f>
        <v>0</v>
      </c>
      <c r="V32" s="106">
        <f>0</f>
        <v>0</v>
      </c>
      <c r="W32" s="106">
        <f>0</f>
        <v>0</v>
      </c>
      <c r="X32" s="106">
        <f>0</f>
        <v>0</v>
      </c>
      <c r="Y32" s="106">
        <f>0</f>
        <v>0</v>
      </c>
      <c r="Z32" s="106">
        <f>0</f>
        <v>0</v>
      </c>
      <c r="AA32" s="106">
        <f>0</f>
        <v>0</v>
      </c>
      <c r="AB32" s="106">
        <f>0</f>
        <v>0</v>
      </c>
      <c r="AC32" s="106">
        <f>0</f>
        <v>0</v>
      </c>
      <c r="AD32" s="106">
        <f>0</f>
        <v>0</v>
      </c>
      <c r="AE32" s="106">
        <f>0</f>
        <v>0</v>
      </c>
      <c r="AF32" s="106">
        <f>0</f>
        <v>0</v>
      </c>
      <c r="AG32" s="106">
        <f>0</f>
        <v>0</v>
      </c>
      <c r="AH32" s="106">
        <f>0</f>
        <v>0</v>
      </c>
      <c r="AI32" s="106">
        <f>0</f>
        <v>0</v>
      </c>
      <c r="AJ32" s="106">
        <f>0</f>
        <v>0</v>
      </c>
      <c r="AK32" s="106">
        <f>0</f>
        <v>0</v>
      </c>
      <c r="AL32" s="106">
        <f>0</f>
        <v>0</v>
      </c>
      <c r="AM32" s="106">
        <f>0</f>
        <v>0</v>
      </c>
      <c r="AN32" s="106">
        <f>0</f>
        <v>0</v>
      </c>
      <c r="AO32" s="106">
        <f>0</f>
        <v>0</v>
      </c>
    </row>
    <row r="33" spans="1:41" s="36" customFormat="1" ht="12">
      <c r="A33" s="131">
        <v>10</v>
      </c>
      <c r="B33" s="132" t="s">
        <v>18</v>
      </c>
      <c r="C33" s="133">
        <f>1352906</f>
        <v>1352906</v>
      </c>
      <c r="D33" s="133">
        <f>3434023</f>
        <v>3434023</v>
      </c>
      <c r="E33" s="133">
        <f>2826165</f>
        <v>2826165</v>
      </c>
      <c r="F33" s="133">
        <f>2046760</f>
        <v>2046760</v>
      </c>
      <c r="G33" s="133">
        <f>3913246</f>
        <v>3913246</v>
      </c>
      <c r="H33" s="133">
        <f>6211022</f>
        <v>6211022</v>
      </c>
      <c r="I33" s="133">
        <f>6754064</f>
        <v>6754064</v>
      </c>
      <c r="J33" s="133">
        <f>7852428</f>
        <v>7852428</v>
      </c>
      <c r="K33" s="133">
        <f>9492249</f>
        <v>9492249</v>
      </c>
      <c r="L33" s="133">
        <f>0</f>
        <v>0</v>
      </c>
      <c r="M33" s="133">
        <f>0</f>
        <v>0</v>
      </c>
      <c r="N33" s="133">
        <f>0</f>
        <v>0</v>
      </c>
      <c r="O33" s="133">
        <f>0</f>
        <v>0</v>
      </c>
      <c r="P33" s="133">
        <f>0</f>
        <v>0</v>
      </c>
      <c r="Q33" s="133">
        <f>0</f>
        <v>0</v>
      </c>
      <c r="R33" s="133">
        <f>0</f>
        <v>0</v>
      </c>
      <c r="S33" s="133">
        <f>0</f>
        <v>0</v>
      </c>
      <c r="T33" s="133">
        <f>0</f>
        <v>0</v>
      </c>
      <c r="U33" s="133">
        <f>0</f>
        <v>0</v>
      </c>
      <c r="V33" s="133">
        <f>0</f>
        <v>0</v>
      </c>
      <c r="W33" s="133">
        <f>0</f>
        <v>0</v>
      </c>
      <c r="X33" s="133">
        <f>0</f>
        <v>0</v>
      </c>
      <c r="Y33" s="133">
        <f>0</f>
        <v>0</v>
      </c>
      <c r="Z33" s="133">
        <f>0</f>
        <v>0</v>
      </c>
      <c r="AA33" s="133">
        <f>0</f>
        <v>0</v>
      </c>
      <c r="AB33" s="133">
        <f>0</f>
        <v>0</v>
      </c>
      <c r="AC33" s="133">
        <f>0</f>
        <v>0</v>
      </c>
      <c r="AD33" s="133">
        <f>0</f>
        <v>0</v>
      </c>
      <c r="AE33" s="133">
        <f>0</f>
        <v>0</v>
      </c>
      <c r="AF33" s="133">
        <f>0</f>
        <v>0</v>
      </c>
      <c r="AG33" s="133">
        <f>0</f>
        <v>0</v>
      </c>
      <c r="AH33" s="133">
        <f>0</f>
        <v>0</v>
      </c>
      <c r="AI33" s="133">
        <f>0</f>
        <v>0</v>
      </c>
      <c r="AJ33" s="133">
        <f>0</f>
        <v>0</v>
      </c>
      <c r="AK33" s="133">
        <f>0</f>
        <v>0</v>
      </c>
      <c r="AL33" s="133">
        <f>0</f>
        <v>0</v>
      </c>
      <c r="AM33" s="133">
        <f>0</f>
        <v>0</v>
      </c>
      <c r="AN33" s="133">
        <f>0</f>
        <v>0</v>
      </c>
      <c r="AO33" s="133">
        <f>0</f>
        <v>0</v>
      </c>
    </row>
    <row r="34" spans="1:41" s="36" customFormat="1" ht="12">
      <c r="A34" s="110" t="s">
        <v>132</v>
      </c>
      <c r="B34" s="111" t="s">
        <v>161</v>
      </c>
      <c r="C34" s="112">
        <f>0</f>
        <v>0</v>
      </c>
      <c r="D34" s="112">
        <f>0</f>
        <v>0</v>
      </c>
      <c r="E34" s="112">
        <f>0</f>
        <v>0</v>
      </c>
      <c r="F34" s="112">
        <f>0</f>
        <v>0</v>
      </c>
      <c r="G34" s="112">
        <f>0</f>
        <v>0</v>
      </c>
      <c r="H34" s="112">
        <f>0</f>
        <v>0</v>
      </c>
      <c r="I34" s="112">
        <f>0</f>
        <v>0</v>
      </c>
      <c r="J34" s="112">
        <f>0</f>
        <v>0</v>
      </c>
      <c r="K34" s="112">
        <f>0</f>
        <v>0</v>
      </c>
      <c r="L34" s="112">
        <f>0</f>
        <v>0</v>
      </c>
      <c r="M34" s="112">
        <f>0</f>
        <v>0</v>
      </c>
      <c r="N34" s="112">
        <f>0</f>
        <v>0</v>
      </c>
      <c r="O34" s="112">
        <f>0</f>
        <v>0</v>
      </c>
      <c r="P34" s="112">
        <f>0</f>
        <v>0</v>
      </c>
      <c r="Q34" s="112">
        <f>0</f>
        <v>0</v>
      </c>
      <c r="R34" s="112">
        <f>0</f>
        <v>0</v>
      </c>
      <c r="S34" s="112">
        <f>0</f>
        <v>0</v>
      </c>
      <c r="T34" s="112">
        <f>0</f>
        <v>0</v>
      </c>
      <c r="U34" s="112">
        <f>0</f>
        <v>0</v>
      </c>
      <c r="V34" s="112">
        <f>0</f>
        <v>0</v>
      </c>
      <c r="W34" s="112">
        <f>0</f>
        <v>0</v>
      </c>
      <c r="X34" s="112">
        <f>0</f>
        <v>0</v>
      </c>
      <c r="Y34" s="112">
        <f>0</f>
        <v>0</v>
      </c>
      <c r="Z34" s="112">
        <f>0</f>
        <v>0</v>
      </c>
      <c r="AA34" s="112">
        <f>0</f>
        <v>0</v>
      </c>
      <c r="AB34" s="112">
        <f>0</f>
        <v>0</v>
      </c>
      <c r="AC34" s="112">
        <f>0</f>
        <v>0</v>
      </c>
      <c r="AD34" s="112">
        <f>0</f>
        <v>0</v>
      </c>
      <c r="AE34" s="112">
        <f>0</f>
        <v>0</v>
      </c>
      <c r="AF34" s="112">
        <f>0</f>
        <v>0</v>
      </c>
      <c r="AG34" s="112">
        <f>0</f>
        <v>0</v>
      </c>
      <c r="AH34" s="112">
        <f>0</f>
        <v>0</v>
      </c>
      <c r="AI34" s="112">
        <f>0</f>
        <v>0</v>
      </c>
      <c r="AJ34" s="112">
        <f>0</f>
        <v>0</v>
      </c>
      <c r="AK34" s="112">
        <f>0</f>
        <v>0</v>
      </c>
      <c r="AL34" s="112">
        <f>0</f>
        <v>0</v>
      </c>
      <c r="AM34" s="112">
        <f>0</f>
        <v>0</v>
      </c>
      <c r="AN34" s="112">
        <f>0</f>
        <v>0</v>
      </c>
      <c r="AO34" s="112">
        <f>0</f>
        <v>0</v>
      </c>
    </row>
    <row r="35" spans="1:41" s="36" customFormat="1" ht="24">
      <c r="A35" s="134" t="s">
        <v>134</v>
      </c>
      <c r="B35" s="137" t="s">
        <v>154</v>
      </c>
      <c r="C35" s="136">
        <f>0</f>
        <v>0</v>
      </c>
      <c r="D35" s="136">
        <f>0</f>
        <v>0</v>
      </c>
      <c r="E35" s="136">
        <f>0</f>
        <v>0</v>
      </c>
      <c r="F35" s="136">
        <f>0</f>
        <v>0</v>
      </c>
      <c r="G35" s="136">
        <f>0</f>
        <v>0</v>
      </c>
      <c r="H35" s="136">
        <f>0</f>
        <v>0</v>
      </c>
      <c r="I35" s="136">
        <f>0</f>
        <v>0</v>
      </c>
      <c r="J35" s="136">
        <f>0</f>
        <v>0</v>
      </c>
      <c r="K35" s="136">
        <f>0</f>
        <v>0</v>
      </c>
      <c r="L35" s="136">
        <f>0</f>
        <v>0</v>
      </c>
      <c r="M35" s="136">
        <f>0</f>
        <v>0</v>
      </c>
      <c r="N35" s="136">
        <f>0</f>
        <v>0</v>
      </c>
      <c r="O35" s="136">
        <f>0</f>
        <v>0</v>
      </c>
      <c r="P35" s="136">
        <f>0</f>
        <v>0</v>
      </c>
      <c r="Q35" s="136">
        <f>0</f>
        <v>0</v>
      </c>
      <c r="R35" s="136">
        <f>0</f>
        <v>0</v>
      </c>
      <c r="S35" s="136">
        <f>0</f>
        <v>0</v>
      </c>
      <c r="T35" s="136">
        <f>0</f>
        <v>0</v>
      </c>
      <c r="U35" s="136">
        <f>0</f>
        <v>0</v>
      </c>
      <c r="V35" s="136">
        <f>0</f>
        <v>0</v>
      </c>
      <c r="W35" s="136">
        <f>0</f>
        <v>0</v>
      </c>
      <c r="X35" s="136">
        <f>0</f>
        <v>0</v>
      </c>
      <c r="Y35" s="136">
        <f>0</f>
        <v>0</v>
      </c>
      <c r="Z35" s="136">
        <f>0</f>
        <v>0</v>
      </c>
      <c r="AA35" s="136">
        <f>0</f>
        <v>0</v>
      </c>
      <c r="AB35" s="136">
        <f>0</f>
        <v>0</v>
      </c>
      <c r="AC35" s="136">
        <f>0</f>
        <v>0</v>
      </c>
      <c r="AD35" s="136">
        <f>0</f>
        <v>0</v>
      </c>
      <c r="AE35" s="136">
        <f>0</f>
        <v>0</v>
      </c>
      <c r="AF35" s="136">
        <f>0</f>
        <v>0</v>
      </c>
      <c r="AG35" s="136">
        <f>0</f>
        <v>0</v>
      </c>
      <c r="AH35" s="136">
        <f>0</f>
        <v>0</v>
      </c>
      <c r="AI35" s="136">
        <f>0</f>
        <v>0</v>
      </c>
      <c r="AJ35" s="136">
        <f>0</f>
        <v>0</v>
      </c>
      <c r="AK35" s="136">
        <f>0</f>
        <v>0</v>
      </c>
      <c r="AL35" s="136">
        <f>0</f>
        <v>0</v>
      </c>
      <c r="AM35" s="136">
        <f>0</f>
        <v>0</v>
      </c>
      <c r="AN35" s="136">
        <f>0</f>
        <v>0</v>
      </c>
      <c r="AO35" s="136">
        <f>0</f>
        <v>0</v>
      </c>
    </row>
    <row r="36" spans="1:41" s="36" customFormat="1" ht="12">
      <c r="A36" s="131">
        <v>11</v>
      </c>
      <c r="B36" s="132" t="s">
        <v>62</v>
      </c>
      <c r="C36" s="139">
        <f>0</f>
        <v>0</v>
      </c>
      <c r="D36" s="139">
        <f>0</f>
        <v>0</v>
      </c>
      <c r="E36" s="139">
        <f>0</f>
        <v>0</v>
      </c>
      <c r="F36" s="139">
        <f>0</f>
        <v>0</v>
      </c>
      <c r="G36" s="139">
        <f>0</f>
        <v>0</v>
      </c>
      <c r="H36" s="139">
        <f>0</f>
        <v>0</v>
      </c>
      <c r="I36" s="139">
        <f>0</f>
        <v>0</v>
      </c>
      <c r="J36" s="139">
        <f>0</f>
        <v>0</v>
      </c>
      <c r="K36" s="139">
        <f>0</f>
        <v>0</v>
      </c>
      <c r="L36" s="139">
        <f>0</f>
        <v>0</v>
      </c>
      <c r="M36" s="139">
        <f>0</f>
        <v>0</v>
      </c>
      <c r="N36" s="139">
        <f>0</f>
        <v>0</v>
      </c>
      <c r="O36" s="139">
        <f>0</f>
        <v>0</v>
      </c>
      <c r="P36" s="139">
        <f>0</f>
        <v>0</v>
      </c>
      <c r="Q36" s="139">
        <f>0</f>
        <v>0</v>
      </c>
      <c r="R36" s="139">
        <f>0</f>
        <v>0</v>
      </c>
      <c r="S36" s="139">
        <f>0</f>
        <v>0</v>
      </c>
      <c r="T36" s="139">
        <f>0</f>
        <v>0</v>
      </c>
      <c r="U36" s="139">
        <f>0</f>
        <v>0</v>
      </c>
      <c r="V36" s="139">
        <f>0</f>
        <v>0</v>
      </c>
      <c r="W36" s="139">
        <f>0</f>
        <v>0</v>
      </c>
      <c r="X36" s="139">
        <f>0</f>
        <v>0</v>
      </c>
      <c r="Y36" s="139">
        <f>0</f>
        <v>0</v>
      </c>
      <c r="Z36" s="139">
        <f>0</f>
        <v>0</v>
      </c>
      <c r="AA36" s="139">
        <f>0</f>
        <v>0</v>
      </c>
      <c r="AB36" s="139">
        <f>0</f>
        <v>0</v>
      </c>
      <c r="AC36" s="139">
        <f>0</f>
        <v>0</v>
      </c>
      <c r="AD36" s="139">
        <f>0</f>
        <v>0</v>
      </c>
      <c r="AE36" s="139">
        <f>0</f>
        <v>0</v>
      </c>
      <c r="AF36" s="139">
        <f>0</f>
        <v>0</v>
      </c>
      <c r="AG36" s="139">
        <f>0</f>
        <v>0</v>
      </c>
      <c r="AH36" s="139">
        <f>0</f>
        <v>0</v>
      </c>
      <c r="AI36" s="139">
        <f>0</f>
        <v>0</v>
      </c>
      <c r="AJ36" s="139">
        <f>0</f>
        <v>0</v>
      </c>
      <c r="AK36" s="139">
        <f>0</f>
        <v>0</v>
      </c>
      <c r="AL36" s="139">
        <f>0</f>
        <v>0</v>
      </c>
      <c r="AM36" s="139">
        <f>0</f>
        <v>0</v>
      </c>
      <c r="AN36" s="139">
        <f>0</f>
        <v>0</v>
      </c>
      <c r="AO36" s="139">
        <f>0</f>
        <v>0</v>
      </c>
    </row>
    <row r="37" spans="1:41" s="36" customFormat="1" ht="12">
      <c r="A37" s="134" t="s">
        <v>135</v>
      </c>
      <c r="B37" s="137" t="s">
        <v>61</v>
      </c>
      <c r="C37" s="140">
        <f>0</f>
        <v>0</v>
      </c>
      <c r="D37" s="140">
        <f>0</f>
        <v>0</v>
      </c>
      <c r="E37" s="140">
        <f>0</f>
        <v>0</v>
      </c>
      <c r="F37" s="140">
        <f>0</f>
        <v>0</v>
      </c>
      <c r="G37" s="140">
        <f>0</f>
        <v>0</v>
      </c>
      <c r="H37" s="140">
        <f>0</f>
        <v>0</v>
      </c>
      <c r="I37" s="140">
        <f>0</f>
        <v>0</v>
      </c>
      <c r="J37" s="140">
        <f>0</f>
        <v>0</v>
      </c>
      <c r="K37" s="140">
        <f>0</f>
        <v>0</v>
      </c>
      <c r="L37" s="140">
        <f>0</f>
        <v>0</v>
      </c>
      <c r="M37" s="140">
        <f>0</f>
        <v>0</v>
      </c>
      <c r="N37" s="140">
        <f>0</f>
        <v>0</v>
      </c>
      <c r="O37" s="140">
        <f>0</f>
        <v>0</v>
      </c>
      <c r="P37" s="140">
        <f>0</f>
        <v>0</v>
      </c>
      <c r="Q37" s="140">
        <f>0</f>
        <v>0</v>
      </c>
      <c r="R37" s="140">
        <f>0</f>
        <v>0</v>
      </c>
      <c r="S37" s="140">
        <f>0</f>
        <v>0</v>
      </c>
      <c r="T37" s="140">
        <f>0</f>
        <v>0</v>
      </c>
      <c r="U37" s="140">
        <f>0</f>
        <v>0</v>
      </c>
      <c r="V37" s="140">
        <f>0</f>
        <v>0</v>
      </c>
      <c r="W37" s="140">
        <f>0</f>
        <v>0</v>
      </c>
      <c r="X37" s="140">
        <f>0</f>
        <v>0</v>
      </c>
      <c r="Y37" s="140">
        <f>0</f>
        <v>0</v>
      </c>
      <c r="Z37" s="140">
        <f>0</f>
        <v>0</v>
      </c>
      <c r="AA37" s="140">
        <f>0</f>
        <v>0</v>
      </c>
      <c r="AB37" s="140">
        <f>0</f>
        <v>0</v>
      </c>
      <c r="AC37" s="140">
        <f>0</f>
        <v>0</v>
      </c>
      <c r="AD37" s="140">
        <f>0</f>
        <v>0</v>
      </c>
      <c r="AE37" s="140">
        <f>0</f>
        <v>0</v>
      </c>
      <c r="AF37" s="140">
        <f>0</f>
        <v>0</v>
      </c>
      <c r="AG37" s="140">
        <f>0</f>
        <v>0</v>
      </c>
      <c r="AH37" s="140">
        <f>0</f>
        <v>0</v>
      </c>
      <c r="AI37" s="140">
        <f>0</f>
        <v>0</v>
      </c>
      <c r="AJ37" s="140">
        <f>0</f>
        <v>0</v>
      </c>
      <c r="AK37" s="140">
        <f>0</f>
        <v>0</v>
      </c>
      <c r="AL37" s="140">
        <f>0</f>
        <v>0</v>
      </c>
      <c r="AM37" s="140">
        <f>0</f>
        <v>0</v>
      </c>
      <c r="AN37" s="140">
        <f>0</f>
        <v>0</v>
      </c>
      <c r="AO37" s="140">
        <f>0</f>
        <v>0</v>
      </c>
    </row>
    <row r="38" spans="1:41" s="36" customFormat="1" ht="12">
      <c r="A38" s="105">
        <v>12</v>
      </c>
      <c r="B38" s="56" t="s">
        <v>136</v>
      </c>
      <c r="C38" s="108">
        <f>0</f>
        <v>0</v>
      </c>
      <c r="D38" s="108">
        <f>0</f>
        <v>0</v>
      </c>
      <c r="E38" s="41">
        <f>0</f>
        <v>0</v>
      </c>
      <c r="F38" s="41">
        <f>0</f>
        <v>0</v>
      </c>
      <c r="G38" s="41">
        <f>0</f>
        <v>0</v>
      </c>
      <c r="H38" s="41">
        <f>0</f>
        <v>0</v>
      </c>
      <c r="I38" s="41">
        <f>0</f>
        <v>0</v>
      </c>
      <c r="J38" s="41">
        <f>0</f>
        <v>0</v>
      </c>
      <c r="K38" s="41">
        <f>0</f>
        <v>0</v>
      </c>
      <c r="L38" s="41">
        <f>0</f>
        <v>0</v>
      </c>
      <c r="M38" s="41">
        <f>0</f>
        <v>0</v>
      </c>
      <c r="N38" s="41">
        <f>0</f>
        <v>0</v>
      </c>
      <c r="O38" s="41">
        <f>0</f>
        <v>0</v>
      </c>
      <c r="P38" s="41">
        <f>0</f>
        <v>0</v>
      </c>
      <c r="Q38" s="41">
        <f>0</f>
        <v>0</v>
      </c>
      <c r="R38" s="41">
        <f>0</f>
        <v>0</v>
      </c>
      <c r="S38" s="41">
        <f>0</f>
        <v>0</v>
      </c>
      <c r="T38" s="41">
        <f>0</f>
        <v>0</v>
      </c>
      <c r="U38" s="41">
        <f>0</f>
        <v>0</v>
      </c>
      <c r="V38" s="41">
        <f>0</f>
        <v>0</v>
      </c>
      <c r="W38" s="41">
        <f>0</f>
        <v>0</v>
      </c>
      <c r="X38" s="41">
        <f>0</f>
        <v>0</v>
      </c>
      <c r="Y38" s="41">
        <f>0</f>
        <v>0</v>
      </c>
      <c r="Z38" s="41">
        <f>0</f>
        <v>0</v>
      </c>
      <c r="AA38" s="41">
        <f>0</f>
        <v>0</v>
      </c>
      <c r="AB38" s="41">
        <f>0</f>
        <v>0</v>
      </c>
      <c r="AC38" s="41">
        <f>0</f>
        <v>0</v>
      </c>
      <c r="AD38" s="41">
        <f>0</f>
        <v>0</v>
      </c>
      <c r="AE38" s="41">
        <f>0</f>
        <v>0</v>
      </c>
      <c r="AF38" s="41">
        <f>0</f>
        <v>0</v>
      </c>
      <c r="AG38" s="41">
        <f>0</f>
        <v>0</v>
      </c>
      <c r="AH38" s="41">
        <f>0</f>
        <v>0</v>
      </c>
      <c r="AI38" s="41">
        <f>0</f>
        <v>0</v>
      </c>
      <c r="AJ38" s="41">
        <f>0</f>
        <v>0</v>
      </c>
      <c r="AK38" s="41">
        <f>0</f>
        <v>0</v>
      </c>
      <c r="AL38" s="41">
        <f>0</f>
        <v>0</v>
      </c>
      <c r="AM38" s="41">
        <f>0</f>
        <v>0</v>
      </c>
      <c r="AN38" s="41">
        <f>0</f>
        <v>0</v>
      </c>
      <c r="AO38" s="41">
        <f>0</f>
        <v>0</v>
      </c>
    </row>
    <row r="39" spans="1:41" s="36" customFormat="1" ht="12">
      <c r="A39" s="131">
        <v>13</v>
      </c>
      <c r="B39" s="132" t="s">
        <v>66</v>
      </c>
      <c r="C39" s="141">
        <f>19464000</f>
        <v>19464000</v>
      </c>
      <c r="D39" s="141">
        <f>16240000</f>
        <v>16240000</v>
      </c>
      <c r="E39" s="141">
        <f>13675000</f>
        <v>13675000</v>
      </c>
      <c r="F39" s="141">
        <f>9868000</f>
        <v>9868000</v>
      </c>
      <c r="G39" s="141">
        <f>6994000</f>
        <v>6994000</v>
      </c>
      <c r="H39" s="141">
        <f>5496000</f>
        <v>5496000</v>
      </c>
      <c r="I39" s="141">
        <f>3498000</f>
        <v>3498000</v>
      </c>
      <c r="J39" s="141">
        <f>1500000</f>
        <v>1500000</v>
      </c>
      <c r="K39" s="141">
        <f>0</f>
        <v>0</v>
      </c>
      <c r="L39" s="141">
        <f>0</f>
        <v>0</v>
      </c>
      <c r="M39" s="141">
        <f>0</f>
        <v>0</v>
      </c>
      <c r="N39" s="141">
        <f>0</f>
        <v>0</v>
      </c>
      <c r="O39" s="141">
        <f>0</f>
        <v>0</v>
      </c>
      <c r="P39" s="141">
        <f>0</f>
        <v>0</v>
      </c>
      <c r="Q39" s="141">
        <f>0</f>
        <v>0</v>
      </c>
      <c r="R39" s="141">
        <f>0</f>
        <v>0</v>
      </c>
      <c r="S39" s="141">
        <f>0</f>
        <v>0</v>
      </c>
      <c r="T39" s="141">
        <f>0</f>
        <v>0</v>
      </c>
      <c r="U39" s="141">
        <f>0</f>
        <v>0</v>
      </c>
      <c r="V39" s="141">
        <f>0</f>
        <v>0</v>
      </c>
      <c r="W39" s="141">
        <f>0</f>
        <v>0</v>
      </c>
      <c r="X39" s="141">
        <f>0</f>
        <v>0</v>
      </c>
      <c r="Y39" s="141">
        <f>0</f>
        <v>0</v>
      </c>
      <c r="Z39" s="141">
        <f>0</f>
        <v>0</v>
      </c>
      <c r="AA39" s="141">
        <f>0</f>
        <v>0</v>
      </c>
      <c r="AB39" s="141">
        <f>0</f>
        <v>0</v>
      </c>
      <c r="AC39" s="141">
        <f>0</f>
        <v>0</v>
      </c>
      <c r="AD39" s="141">
        <f>0</f>
        <v>0</v>
      </c>
      <c r="AE39" s="141">
        <f>0</f>
        <v>0</v>
      </c>
      <c r="AF39" s="141">
        <f>0</f>
        <v>0</v>
      </c>
      <c r="AG39" s="141">
        <f>0</f>
        <v>0</v>
      </c>
      <c r="AH39" s="141">
        <f>0</f>
        <v>0</v>
      </c>
      <c r="AI39" s="141">
        <f>0</f>
        <v>0</v>
      </c>
      <c r="AJ39" s="141">
        <f>0</f>
        <v>0</v>
      </c>
      <c r="AK39" s="141">
        <f>0</f>
        <v>0</v>
      </c>
      <c r="AL39" s="141">
        <f>0</f>
        <v>0</v>
      </c>
      <c r="AM39" s="141">
        <f>0</f>
        <v>0</v>
      </c>
      <c r="AN39" s="141">
        <f>0</f>
        <v>0</v>
      </c>
      <c r="AO39" s="141">
        <f>0</f>
        <v>0</v>
      </c>
    </row>
    <row r="40" spans="1:41" s="36" customFormat="1" ht="24">
      <c r="A40" s="134" t="s">
        <v>137</v>
      </c>
      <c r="B40" s="137" t="s">
        <v>67</v>
      </c>
      <c r="C40" s="140">
        <f>578000</f>
        <v>578000</v>
      </c>
      <c r="D40" s="140">
        <f>402000</f>
        <v>402000</v>
      </c>
      <c r="E40" s="140">
        <f>235000</f>
        <v>235000</v>
      </c>
      <c r="F40" s="140">
        <f>76000</f>
        <v>76000</v>
      </c>
      <c r="G40" s="140">
        <f>0</f>
        <v>0</v>
      </c>
      <c r="H40" s="140">
        <f>0</f>
        <v>0</v>
      </c>
      <c r="I40" s="140">
        <f>0</f>
        <v>0</v>
      </c>
      <c r="J40" s="140">
        <f>0</f>
        <v>0</v>
      </c>
      <c r="K40" s="140">
        <f>0</f>
        <v>0</v>
      </c>
      <c r="L40" s="140">
        <f>0</f>
        <v>0</v>
      </c>
      <c r="M40" s="140">
        <f>0</f>
        <v>0</v>
      </c>
      <c r="N40" s="140">
        <f>0</f>
        <v>0</v>
      </c>
      <c r="O40" s="140">
        <f>0</f>
        <v>0</v>
      </c>
      <c r="P40" s="140">
        <f>0</f>
        <v>0</v>
      </c>
      <c r="Q40" s="140">
        <f>0</f>
        <v>0</v>
      </c>
      <c r="R40" s="140">
        <f>0</f>
        <v>0</v>
      </c>
      <c r="S40" s="140">
        <f>0</f>
        <v>0</v>
      </c>
      <c r="T40" s="140">
        <f>0</f>
        <v>0</v>
      </c>
      <c r="U40" s="140">
        <f>0</f>
        <v>0</v>
      </c>
      <c r="V40" s="140">
        <f>0</f>
        <v>0</v>
      </c>
      <c r="W40" s="140">
        <f>0</f>
        <v>0</v>
      </c>
      <c r="X40" s="140">
        <f>0</f>
        <v>0</v>
      </c>
      <c r="Y40" s="140">
        <f>0</f>
        <v>0</v>
      </c>
      <c r="Z40" s="140">
        <f>0</f>
        <v>0</v>
      </c>
      <c r="AA40" s="140">
        <f>0</f>
        <v>0</v>
      </c>
      <c r="AB40" s="140">
        <f>0</f>
        <v>0</v>
      </c>
      <c r="AC40" s="140">
        <f>0</f>
        <v>0</v>
      </c>
      <c r="AD40" s="140">
        <f>0</f>
        <v>0</v>
      </c>
      <c r="AE40" s="140">
        <f>0</f>
        <v>0</v>
      </c>
      <c r="AF40" s="140">
        <f>0</f>
        <v>0</v>
      </c>
      <c r="AG40" s="140">
        <f>0</f>
        <v>0</v>
      </c>
      <c r="AH40" s="140">
        <f>0</f>
        <v>0</v>
      </c>
      <c r="AI40" s="140">
        <f>0</f>
        <v>0</v>
      </c>
      <c r="AJ40" s="140">
        <f>0</f>
        <v>0</v>
      </c>
      <c r="AK40" s="140">
        <f>0</f>
        <v>0</v>
      </c>
      <c r="AL40" s="140">
        <f>0</f>
        <v>0</v>
      </c>
      <c r="AM40" s="140">
        <f>0</f>
        <v>0</v>
      </c>
      <c r="AN40" s="140">
        <f>0</f>
        <v>0</v>
      </c>
      <c r="AO40" s="140">
        <f>0</f>
        <v>0</v>
      </c>
    </row>
    <row r="41" spans="1:41" s="36" customFormat="1" ht="12">
      <c r="A41" s="105">
        <v>14</v>
      </c>
      <c r="B41" s="56" t="s">
        <v>68</v>
      </c>
      <c r="C41" s="41">
        <f>0</f>
        <v>0</v>
      </c>
      <c r="D41" s="41">
        <f>0</f>
        <v>0</v>
      </c>
      <c r="E41" s="41">
        <f>0</f>
        <v>0</v>
      </c>
      <c r="F41" s="41">
        <f>0</f>
        <v>0</v>
      </c>
      <c r="G41" s="41">
        <f>0</f>
        <v>0</v>
      </c>
      <c r="H41" s="41">
        <f>0</f>
        <v>0</v>
      </c>
      <c r="I41" s="41">
        <f>0</f>
        <v>0</v>
      </c>
      <c r="J41" s="41">
        <f>0</f>
        <v>0</v>
      </c>
      <c r="K41" s="41">
        <f>0</f>
        <v>0</v>
      </c>
      <c r="L41" s="41">
        <f>0</f>
        <v>0</v>
      </c>
      <c r="M41" s="41">
        <f>0</f>
        <v>0</v>
      </c>
      <c r="N41" s="41">
        <f>0</f>
        <v>0</v>
      </c>
      <c r="O41" s="41">
        <f>0</f>
        <v>0</v>
      </c>
      <c r="P41" s="41">
        <f>0</f>
        <v>0</v>
      </c>
      <c r="Q41" s="41">
        <f>0</f>
        <v>0</v>
      </c>
      <c r="R41" s="41">
        <f>0</f>
        <v>0</v>
      </c>
      <c r="S41" s="41">
        <f>0</f>
        <v>0</v>
      </c>
      <c r="T41" s="41">
        <f>0</f>
        <v>0</v>
      </c>
      <c r="U41" s="41">
        <f>0</f>
        <v>0</v>
      </c>
      <c r="V41" s="41">
        <f>0</f>
        <v>0</v>
      </c>
      <c r="W41" s="41">
        <f>0</f>
        <v>0</v>
      </c>
      <c r="X41" s="41">
        <f>0</f>
        <v>0</v>
      </c>
      <c r="Y41" s="41">
        <f>0</f>
        <v>0</v>
      </c>
      <c r="Z41" s="41">
        <f>0</f>
        <v>0</v>
      </c>
      <c r="AA41" s="41">
        <f>0</f>
        <v>0</v>
      </c>
      <c r="AB41" s="41">
        <f>0</f>
        <v>0</v>
      </c>
      <c r="AC41" s="41">
        <f>0</f>
        <v>0</v>
      </c>
      <c r="AD41" s="41">
        <f>0</f>
        <v>0</v>
      </c>
      <c r="AE41" s="41">
        <f>0</f>
        <v>0</v>
      </c>
      <c r="AF41" s="41">
        <f>0</f>
        <v>0</v>
      </c>
      <c r="AG41" s="41">
        <f>0</f>
        <v>0</v>
      </c>
      <c r="AH41" s="41">
        <f>0</f>
        <v>0</v>
      </c>
      <c r="AI41" s="41">
        <f>0</f>
        <v>0</v>
      </c>
      <c r="AJ41" s="41">
        <f>0</f>
        <v>0</v>
      </c>
      <c r="AK41" s="41">
        <f>0</f>
        <v>0</v>
      </c>
      <c r="AL41" s="41">
        <f>0</f>
        <v>0</v>
      </c>
      <c r="AM41" s="41">
        <f>0</f>
        <v>0</v>
      </c>
      <c r="AN41" s="41">
        <f>0</f>
        <v>0</v>
      </c>
      <c r="AO41" s="41">
        <f>0</f>
        <v>0</v>
      </c>
    </row>
    <row r="42" spans="1:41" s="36" customFormat="1" ht="36">
      <c r="A42" s="109">
        <v>15</v>
      </c>
      <c r="B42" s="56" t="s">
        <v>139</v>
      </c>
      <c r="C42" s="41">
        <f>0</f>
        <v>0</v>
      </c>
      <c r="D42" s="41">
        <f>0</f>
        <v>0</v>
      </c>
      <c r="E42" s="41">
        <f>0</f>
        <v>0</v>
      </c>
      <c r="F42" s="41">
        <f>0</f>
        <v>0</v>
      </c>
      <c r="G42" s="41">
        <f>0</f>
        <v>0</v>
      </c>
      <c r="H42" s="41">
        <f>0</f>
        <v>0</v>
      </c>
      <c r="I42" s="41">
        <f>0</f>
        <v>0</v>
      </c>
      <c r="J42" s="41">
        <f>0</f>
        <v>0</v>
      </c>
      <c r="K42" s="41">
        <f>0</f>
        <v>0</v>
      </c>
      <c r="L42" s="41">
        <f>0</f>
        <v>0</v>
      </c>
      <c r="M42" s="41">
        <f>0</f>
        <v>0</v>
      </c>
      <c r="N42" s="41">
        <f>0</f>
        <v>0</v>
      </c>
      <c r="O42" s="41">
        <f>0</f>
        <v>0</v>
      </c>
      <c r="P42" s="41">
        <f>0</f>
        <v>0</v>
      </c>
      <c r="Q42" s="41">
        <f>0</f>
        <v>0</v>
      </c>
      <c r="R42" s="41">
        <f>0</f>
        <v>0</v>
      </c>
      <c r="S42" s="41">
        <f>0</f>
        <v>0</v>
      </c>
      <c r="T42" s="41">
        <f>0</f>
        <v>0</v>
      </c>
      <c r="U42" s="41">
        <f>0</f>
        <v>0</v>
      </c>
      <c r="V42" s="41">
        <f>0</f>
        <v>0</v>
      </c>
      <c r="W42" s="41">
        <f>0</f>
        <v>0</v>
      </c>
      <c r="X42" s="41">
        <f>0</f>
        <v>0</v>
      </c>
      <c r="Y42" s="41">
        <f>0</f>
        <v>0</v>
      </c>
      <c r="Z42" s="41">
        <f>0</f>
        <v>0</v>
      </c>
      <c r="AA42" s="41">
        <f>0</f>
        <v>0</v>
      </c>
      <c r="AB42" s="41">
        <f>0</f>
        <v>0</v>
      </c>
      <c r="AC42" s="41">
        <f>0</f>
        <v>0</v>
      </c>
      <c r="AD42" s="41">
        <f>0</f>
        <v>0</v>
      </c>
      <c r="AE42" s="41">
        <f>0</f>
        <v>0</v>
      </c>
      <c r="AF42" s="41">
        <f>0</f>
        <v>0</v>
      </c>
      <c r="AG42" s="41">
        <f>0</f>
        <v>0</v>
      </c>
      <c r="AH42" s="41">
        <f>0</f>
        <v>0</v>
      </c>
      <c r="AI42" s="41">
        <f>0</f>
        <v>0</v>
      </c>
      <c r="AJ42" s="41">
        <f>0</f>
        <v>0</v>
      </c>
      <c r="AK42" s="41">
        <f>0</f>
        <v>0</v>
      </c>
      <c r="AL42" s="41">
        <f>0</f>
        <v>0</v>
      </c>
      <c r="AM42" s="41">
        <f>0</f>
        <v>0</v>
      </c>
      <c r="AN42" s="41">
        <f>0</f>
        <v>0</v>
      </c>
      <c r="AO42" s="41">
        <f>0</f>
        <v>0</v>
      </c>
    </row>
    <row r="43" spans="1:41" s="36" customFormat="1" ht="24">
      <c r="A43" s="109">
        <v>16</v>
      </c>
      <c r="B43" s="56" t="s">
        <v>140</v>
      </c>
      <c r="C43" s="41">
        <f>875866</f>
        <v>875866</v>
      </c>
      <c r="D43" s="41">
        <f>3048000</f>
        <v>3048000</v>
      </c>
      <c r="E43" s="41">
        <f>2398000</f>
        <v>2398000</v>
      </c>
      <c r="F43" s="41">
        <f>3648000</f>
        <v>3648000</v>
      </c>
      <c r="G43" s="41">
        <f>2798000</f>
        <v>2798000</v>
      </c>
      <c r="H43" s="41">
        <f>1498000</f>
        <v>1498000</v>
      </c>
      <c r="I43" s="41">
        <f>1998000</f>
        <v>1998000</v>
      </c>
      <c r="J43" s="41">
        <f>1998000</f>
        <v>1998000</v>
      </c>
      <c r="K43" s="41">
        <f>1500000</f>
        <v>1500000</v>
      </c>
      <c r="L43" s="41">
        <f>0</f>
        <v>0</v>
      </c>
      <c r="M43" s="41">
        <f>0</f>
        <v>0</v>
      </c>
      <c r="N43" s="41">
        <f>0</f>
        <v>0</v>
      </c>
      <c r="O43" s="41">
        <f>0</f>
        <v>0</v>
      </c>
      <c r="P43" s="41">
        <f>0</f>
        <v>0</v>
      </c>
      <c r="Q43" s="41">
        <f>0</f>
        <v>0</v>
      </c>
      <c r="R43" s="41">
        <f>0</f>
        <v>0</v>
      </c>
      <c r="S43" s="41">
        <f>0</f>
        <v>0</v>
      </c>
      <c r="T43" s="41">
        <f>0</f>
        <v>0</v>
      </c>
      <c r="U43" s="41">
        <f>0</f>
        <v>0</v>
      </c>
      <c r="V43" s="41">
        <f>0</f>
        <v>0</v>
      </c>
      <c r="W43" s="41">
        <f>0</f>
        <v>0</v>
      </c>
      <c r="X43" s="41">
        <f>0</f>
        <v>0</v>
      </c>
      <c r="Y43" s="41">
        <f>0</f>
        <v>0</v>
      </c>
      <c r="Z43" s="41">
        <f>0</f>
        <v>0</v>
      </c>
      <c r="AA43" s="41">
        <f>0</f>
        <v>0</v>
      </c>
      <c r="AB43" s="41">
        <f>0</f>
        <v>0</v>
      </c>
      <c r="AC43" s="41">
        <f>0</f>
        <v>0</v>
      </c>
      <c r="AD43" s="41">
        <f>0</f>
        <v>0</v>
      </c>
      <c r="AE43" s="41">
        <f>0</f>
        <v>0</v>
      </c>
      <c r="AF43" s="41">
        <f>0</f>
        <v>0</v>
      </c>
      <c r="AG43" s="41">
        <f>0</f>
        <v>0</v>
      </c>
      <c r="AH43" s="41">
        <f>0</f>
        <v>0</v>
      </c>
      <c r="AI43" s="41">
        <f>0</f>
        <v>0</v>
      </c>
      <c r="AJ43" s="41">
        <f>0</f>
        <v>0</v>
      </c>
      <c r="AK43" s="41">
        <f>0</f>
        <v>0</v>
      </c>
      <c r="AL43" s="41">
        <f>0</f>
        <v>0</v>
      </c>
      <c r="AM43" s="41">
        <f>0</f>
        <v>0</v>
      </c>
      <c r="AN43" s="41">
        <f>0</f>
        <v>0</v>
      </c>
      <c r="AO43" s="41">
        <f>0</f>
        <v>0</v>
      </c>
    </row>
    <row r="44" spans="1:41" s="36" customFormat="1" ht="12">
      <c r="A44" s="142">
        <v>17</v>
      </c>
      <c r="B44" s="143" t="s">
        <v>91</v>
      </c>
      <c r="C44" s="139">
        <f>3101906</f>
        <v>3101906</v>
      </c>
      <c r="D44" s="139">
        <f>2668225</f>
        <v>2668225</v>
      </c>
      <c r="E44" s="139">
        <f>2187692</f>
        <v>2187692</v>
      </c>
      <c r="F44" s="139">
        <f>1649153</f>
        <v>1649153</v>
      </c>
      <c r="G44" s="139">
        <f>1085243</f>
        <v>1085243</v>
      </c>
      <c r="H44" s="139">
        <f>571899</f>
        <v>571899</v>
      </c>
      <c r="I44" s="139">
        <f>0</f>
        <v>0</v>
      </c>
      <c r="J44" s="139">
        <f>0</f>
        <v>0</v>
      </c>
      <c r="K44" s="139">
        <f>0</f>
        <v>0</v>
      </c>
      <c r="L44" s="139">
        <f>0</f>
        <v>0</v>
      </c>
      <c r="M44" s="139">
        <f>0</f>
        <v>0</v>
      </c>
      <c r="N44" s="139">
        <f>0</f>
        <v>0</v>
      </c>
      <c r="O44" s="139">
        <f>0</f>
        <v>0</v>
      </c>
      <c r="P44" s="139">
        <f>0</f>
        <v>0</v>
      </c>
      <c r="Q44" s="139">
        <f>0</f>
        <v>0</v>
      </c>
      <c r="R44" s="139">
        <f>0</f>
        <v>0</v>
      </c>
      <c r="S44" s="139">
        <f>0</f>
        <v>0</v>
      </c>
      <c r="T44" s="139">
        <f>0</f>
        <v>0</v>
      </c>
      <c r="U44" s="139">
        <f>0</f>
        <v>0</v>
      </c>
      <c r="V44" s="139">
        <f>0</f>
        <v>0</v>
      </c>
      <c r="W44" s="139">
        <f>0</f>
        <v>0</v>
      </c>
      <c r="X44" s="139">
        <f>0</f>
        <v>0</v>
      </c>
      <c r="Y44" s="139">
        <f>0</f>
        <v>0</v>
      </c>
      <c r="Z44" s="139">
        <f>0</f>
        <v>0</v>
      </c>
      <c r="AA44" s="139">
        <f>0</f>
        <v>0</v>
      </c>
      <c r="AB44" s="139">
        <f>0</f>
        <v>0</v>
      </c>
      <c r="AC44" s="139">
        <f>0</f>
        <v>0</v>
      </c>
      <c r="AD44" s="139">
        <f>0</f>
        <v>0</v>
      </c>
      <c r="AE44" s="139">
        <f>0</f>
        <v>0</v>
      </c>
      <c r="AF44" s="139">
        <f>0</f>
        <v>0</v>
      </c>
      <c r="AG44" s="139">
        <f>0</f>
        <v>0</v>
      </c>
      <c r="AH44" s="139">
        <f>0</f>
        <v>0</v>
      </c>
      <c r="AI44" s="139">
        <f>0</f>
        <v>0</v>
      </c>
      <c r="AJ44" s="139">
        <f>0</f>
        <v>0</v>
      </c>
      <c r="AK44" s="139">
        <f>0</f>
        <v>0</v>
      </c>
      <c r="AL44" s="139">
        <f>0</f>
        <v>0</v>
      </c>
      <c r="AM44" s="139">
        <f>0</f>
        <v>0</v>
      </c>
      <c r="AN44" s="139">
        <f>0</f>
        <v>0</v>
      </c>
      <c r="AO44" s="139">
        <f>0</f>
        <v>0</v>
      </c>
    </row>
    <row r="45" spans="1:41" s="36" customFormat="1" ht="24">
      <c r="A45" s="144" t="s">
        <v>141</v>
      </c>
      <c r="B45" s="145" t="s">
        <v>92</v>
      </c>
      <c r="C45" s="140">
        <f>3101906</f>
        <v>3101906</v>
      </c>
      <c r="D45" s="140">
        <f>2668225</f>
        <v>2668225</v>
      </c>
      <c r="E45" s="140">
        <f>2187692</f>
        <v>2187692</v>
      </c>
      <c r="F45" s="140">
        <f>1649153</f>
        <v>1649153</v>
      </c>
      <c r="G45" s="140">
        <f>1085243</f>
        <v>1085243</v>
      </c>
      <c r="H45" s="140">
        <f>571899</f>
        <v>571899</v>
      </c>
      <c r="I45" s="140">
        <f>0</f>
        <v>0</v>
      </c>
      <c r="J45" s="140">
        <f>0</f>
        <v>0</v>
      </c>
      <c r="K45" s="140">
        <f>0</f>
        <v>0</v>
      </c>
      <c r="L45" s="140">
        <f>0</f>
        <v>0</v>
      </c>
      <c r="M45" s="140">
        <f>0</f>
        <v>0</v>
      </c>
      <c r="N45" s="140">
        <f>0</f>
        <v>0</v>
      </c>
      <c r="O45" s="140">
        <f>0</f>
        <v>0</v>
      </c>
      <c r="P45" s="140">
        <f>0</f>
        <v>0</v>
      </c>
      <c r="Q45" s="140">
        <f>0</f>
        <v>0</v>
      </c>
      <c r="R45" s="140">
        <f>0</f>
        <v>0</v>
      </c>
      <c r="S45" s="140">
        <f>0</f>
        <v>0</v>
      </c>
      <c r="T45" s="140">
        <f>0</f>
        <v>0</v>
      </c>
      <c r="U45" s="140">
        <f>0</f>
        <v>0</v>
      </c>
      <c r="V45" s="140">
        <f>0</f>
        <v>0</v>
      </c>
      <c r="W45" s="140">
        <f>0</f>
        <v>0</v>
      </c>
      <c r="X45" s="140">
        <f>0</f>
        <v>0</v>
      </c>
      <c r="Y45" s="140">
        <f>0</f>
        <v>0</v>
      </c>
      <c r="Z45" s="140">
        <f>0</f>
        <v>0</v>
      </c>
      <c r="AA45" s="140">
        <f>0</f>
        <v>0</v>
      </c>
      <c r="AB45" s="140">
        <f>0</f>
        <v>0</v>
      </c>
      <c r="AC45" s="140">
        <f>0</f>
        <v>0</v>
      </c>
      <c r="AD45" s="140">
        <f>0</f>
        <v>0</v>
      </c>
      <c r="AE45" s="140">
        <f>0</f>
        <v>0</v>
      </c>
      <c r="AF45" s="140">
        <f>0</f>
        <v>0</v>
      </c>
      <c r="AG45" s="140">
        <f>0</f>
        <v>0</v>
      </c>
      <c r="AH45" s="140">
        <f>0</f>
        <v>0</v>
      </c>
      <c r="AI45" s="140">
        <f>0</f>
        <v>0</v>
      </c>
      <c r="AJ45" s="140">
        <f>0</f>
        <v>0</v>
      </c>
      <c r="AK45" s="140">
        <f>0</f>
        <v>0</v>
      </c>
      <c r="AL45" s="140">
        <f>0</f>
        <v>0</v>
      </c>
      <c r="AM45" s="140">
        <f>0</f>
        <v>0</v>
      </c>
      <c r="AN45" s="140">
        <f>0</f>
        <v>0</v>
      </c>
      <c r="AO45" s="140">
        <f>0</f>
        <v>0</v>
      </c>
    </row>
    <row r="46" spans="1:41" s="36" customFormat="1" ht="12">
      <c r="A46" s="146">
        <v>18</v>
      </c>
      <c r="B46" s="147" t="s">
        <v>69</v>
      </c>
      <c r="C46" s="148">
        <f>0.2785</f>
        <v>0.2785</v>
      </c>
      <c r="D46" s="148">
        <f>0.2443</f>
        <v>0.2443</v>
      </c>
      <c r="E46" s="148">
        <f>0.204</f>
        <v>0.204</v>
      </c>
      <c r="F46" s="148">
        <f>0.1433</f>
        <v>0.1433</v>
      </c>
      <c r="G46" s="148">
        <f>0.0981</f>
        <v>0.0981</v>
      </c>
      <c r="H46" s="148">
        <f>0.0745</f>
        <v>0.0745</v>
      </c>
      <c r="I46" s="148">
        <f>0.0458</f>
        <v>0.0458</v>
      </c>
      <c r="J46" s="148">
        <f>0.019</f>
        <v>0.019</v>
      </c>
      <c r="K46" s="148">
        <f>0</f>
        <v>0</v>
      </c>
      <c r="L46" s="148">
        <f>0</f>
        <v>0</v>
      </c>
      <c r="M46" s="148">
        <f>0</f>
        <v>0</v>
      </c>
      <c r="N46" s="148">
        <f>0</f>
        <v>0</v>
      </c>
      <c r="O46" s="148">
        <f>0</f>
        <v>0</v>
      </c>
      <c r="P46" s="148">
        <f>0</f>
        <v>0</v>
      </c>
      <c r="Q46" s="148">
        <f>0</f>
        <v>0</v>
      </c>
      <c r="R46" s="148">
        <f>0</f>
        <v>0</v>
      </c>
      <c r="S46" s="148">
        <f>0</f>
        <v>0</v>
      </c>
      <c r="T46" s="148">
        <f>0</f>
        <v>0</v>
      </c>
      <c r="U46" s="148">
        <f>0</f>
        <v>0</v>
      </c>
      <c r="V46" s="148">
        <f>0</f>
        <v>0</v>
      </c>
      <c r="W46" s="148">
        <f>0</f>
        <v>0</v>
      </c>
      <c r="X46" s="148">
        <f>0</f>
        <v>0</v>
      </c>
      <c r="Y46" s="148">
        <f>0</f>
        <v>0</v>
      </c>
      <c r="Z46" s="148">
        <f>0</f>
        <v>0</v>
      </c>
      <c r="AA46" s="148">
        <f>0</f>
        <v>0</v>
      </c>
      <c r="AB46" s="148">
        <f>0</f>
        <v>0</v>
      </c>
      <c r="AC46" s="148">
        <f>0</f>
        <v>0</v>
      </c>
      <c r="AD46" s="148">
        <f>0</f>
        <v>0</v>
      </c>
      <c r="AE46" s="148">
        <f>0</f>
        <v>0</v>
      </c>
      <c r="AF46" s="148">
        <f>0</f>
        <v>0</v>
      </c>
      <c r="AG46" s="148">
        <f>0</f>
        <v>0</v>
      </c>
      <c r="AH46" s="148">
        <f>0</f>
        <v>0</v>
      </c>
      <c r="AI46" s="148">
        <f>0</f>
        <v>0</v>
      </c>
      <c r="AJ46" s="148">
        <f>0</f>
        <v>0</v>
      </c>
      <c r="AK46" s="148">
        <f>0</f>
        <v>0</v>
      </c>
      <c r="AL46" s="148">
        <f>0</f>
        <v>0</v>
      </c>
      <c r="AM46" s="148">
        <f>0</f>
        <v>0</v>
      </c>
      <c r="AN46" s="148">
        <f>0</f>
        <v>0</v>
      </c>
      <c r="AO46" s="148">
        <f>0</f>
        <v>0</v>
      </c>
    </row>
    <row r="47" spans="1:41" s="36" customFormat="1" ht="24">
      <c r="A47" s="119" t="s">
        <v>143</v>
      </c>
      <c r="B47" s="120" t="s">
        <v>71</v>
      </c>
      <c r="C47" s="121">
        <f>0.2785</f>
        <v>0.2785</v>
      </c>
      <c r="D47" s="121">
        <f>0.2443</f>
        <v>0.2443</v>
      </c>
      <c r="E47" s="121">
        <f>0.204</f>
        <v>0.204</v>
      </c>
      <c r="F47" s="121">
        <f>0.1433</f>
        <v>0.1433</v>
      </c>
      <c r="G47" s="121">
        <f>0.0981</f>
        <v>0.0981</v>
      </c>
      <c r="H47" s="121">
        <f>0.0745</f>
        <v>0.0745</v>
      </c>
      <c r="I47" s="121">
        <f>0.0458</f>
        <v>0.0458</v>
      </c>
      <c r="J47" s="121">
        <f>0.019</f>
        <v>0.019</v>
      </c>
      <c r="K47" s="121">
        <f>0</f>
        <v>0</v>
      </c>
      <c r="L47" s="121">
        <f>0</f>
        <v>0</v>
      </c>
      <c r="M47" s="121">
        <f>0</f>
        <v>0</v>
      </c>
      <c r="N47" s="121">
        <f>0</f>
        <v>0</v>
      </c>
      <c r="O47" s="121">
        <f>0</f>
        <v>0</v>
      </c>
      <c r="P47" s="121">
        <f>0</f>
        <v>0</v>
      </c>
      <c r="Q47" s="121">
        <f>0</f>
        <v>0</v>
      </c>
      <c r="R47" s="121">
        <f>0</f>
        <v>0</v>
      </c>
      <c r="S47" s="121">
        <f>0</f>
        <v>0</v>
      </c>
      <c r="T47" s="121">
        <f>0</f>
        <v>0</v>
      </c>
      <c r="U47" s="121">
        <f>0</f>
        <v>0</v>
      </c>
      <c r="V47" s="121">
        <f>0</f>
        <v>0</v>
      </c>
      <c r="W47" s="121">
        <f>0</f>
        <v>0</v>
      </c>
      <c r="X47" s="121">
        <f>0</f>
        <v>0</v>
      </c>
      <c r="Y47" s="121">
        <f>0</f>
        <v>0</v>
      </c>
      <c r="Z47" s="121">
        <f>0</f>
        <v>0</v>
      </c>
      <c r="AA47" s="121">
        <f>0</f>
        <v>0</v>
      </c>
      <c r="AB47" s="121">
        <f>0</f>
        <v>0</v>
      </c>
      <c r="AC47" s="121">
        <f>0</f>
        <v>0</v>
      </c>
      <c r="AD47" s="121">
        <f>0</f>
        <v>0</v>
      </c>
      <c r="AE47" s="121">
        <f>0</f>
        <v>0</v>
      </c>
      <c r="AF47" s="121">
        <f>0</f>
        <v>0</v>
      </c>
      <c r="AG47" s="121">
        <f>0</f>
        <v>0</v>
      </c>
      <c r="AH47" s="121">
        <f>0</f>
        <v>0</v>
      </c>
      <c r="AI47" s="121">
        <f>0</f>
        <v>0</v>
      </c>
      <c r="AJ47" s="121">
        <f>0</f>
        <v>0</v>
      </c>
      <c r="AK47" s="121">
        <f>0</f>
        <v>0</v>
      </c>
      <c r="AL47" s="121">
        <f>0</f>
        <v>0</v>
      </c>
      <c r="AM47" s="121">
        <f>0</f>
        <v>0</v>
      </c>
      <c r="AN47" s="121">
        <f>0</f>
        <v>0</v>
      </c>
      <c r="AO47" s="121">
        <f>0</f>
        <v>0</v>
      </c>
    </row>
    <row r="48" spans="1:41" s="36" customFormat="1" ht="24">
      <c r="A48" s="119">
        <v>19</v>
      </c>
      <c r="B48" s="122" t="s">
        <v>72</v>
      </c>
      <c r="C48" s="121">
        <f>0.0652</f>
        <v>0.0652</v>
      </c>
      <c r="D48" s="121">
        <f>0.0609</f>
        <v>0.0609</v>
      </c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</row>
    <row r="49" spans="1:41" s="36" customFormat="1" ht="24">
      <c r="A49" s="144" t="s">
        <v>144</v>
      </c>
      <c r="B49" s="149" t="s">
        <v>74</v>
      </c>
      <c r="C49" s="150">
        <f>0.0652</f>
        <v>0.0652</v>
      </c>
      <c r="D49" s="150">
        <f>0.0609</f>
        <v>0.0609</v>
      </c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</row>
    <row r="50" spans="1:41" s="36" customFormat="1" ht="12">
      <c r="A50" s="146">
        <v>20</v>
      </c>
      <c r="B50" s="147" t="s">
        <v>145</v>
      </c>
      <c r="C50" s="148">
        <f>0.0245</f>
        <v>0.0245</v>
      </c>
      <c r="D50" s="148">
        <f>0.0975</f>
        <v>0.0975</v>
      </c>
      <c r="E50" s="148">
        <f>0.0779</f>
        <v>0.0779</v>
      </c>
      <c r="F50" s="148">
        <f>0.0827</f>
        <v>0.0827</v>
      </c>
      <c r="G50" s="148">
        <f>0.0942</f>
        <v>0.0942</v>
      </c>
      <c r="H50" s="148">
        <f>0.1045</f>
        <v>0.1045</v>
      </c>
      <c r="I50" s="148">
        <f>0.1146</f>
        <v>0.1146</v>
      </c>
      <c r="J50" s="148">
        <f>0.1246</f>
        <v>0.1246</v>
      </c>
      <c r="K50" s="148">
        <f>0.1344</f>
        <v>0.1344</v>
      </c>
      <c r="L50" s="148">
        <f>0</f>
        <v>0</v>
      </c>
      <c r="M50" s="148">
        <f>0</f>
        <v>0</v>
      </c>
      <c r="N50" s="148">
        <f>0</f>
        <v>0</v>
      </c>
      <c r="O50" s="148">
        <f>0</f>
        <v>0</v>
      </c>
      <c r="P50" s="148">
        <f>0</f>
        <v>0</v>
      </c>
      <c r="Q50" s="148">
        <f>0</f>
        <v>0</v>
      </c>
      <c r="R50" s="148">
        <f>0</f>
        <v>0</v>
      </c>
      <c r="S50" s="148">
        <f>0</f>
        <v>0</v>
      </c>
      <c r="T50" s="148">
        <f>0</f>
        <v>0</v>
      </c>
      <c r="U50" s="148">
        <f>0</f>
        <v>0</v>
      </c>
      <c r="V50" s="148">
        <f>0</f>
        <v>0</v>
      </c>
      <c r="W50" s="148">
        <f>0</f>
        <v>0</v>
      </c>
      <c r="X50" s="148">
        <f>0</f>
        <v>0</v>
      </c>
      <c r="Y50" s="148">
        <f>0</f>
        <v>0</v>
      </c>
      <c r="Z50" s="148">
        <f>0</f>
        <v>0</v>
      </c>
      <c r="AA50" s="148">
        <f>0</f>
        <v>0</v>
      </c>
      <c r="AB50" s="148">
        <f>0</f>
        <v>0</v>
      </c>
      <c r="AC50" s="148">
        <f>0</f>
        <v>0</v>
      </c>
      <c r="AD50" s="148">
        <f>0</f>
        <v>0</v>
      </c>
      <c r="AE50" s="148">
        <f>0</f>
        <v>0</v>
      </c>
      <c r="AF50" s="148">
        <f>0</f>
        <v>0</v>
      </c>
      <c r="AG50" s="148">
        <f>0</f>
        <v>0</v>
      </c>
      <c r="AH50" s="148">
        <f>0</f>
        <v>0</v>
      </c>
      <c r="AI50" s="148">
        <f>0</f>
        <v>0</v>
      </c>
      <c r="AJ50" s="148">
        <f>0</f>
        <v>0</v>
      </c>
      <c r="AK50" s="148">
        <f>0</f>
        <v>0</v>
      </c>
      <c r="AL50" s="148">
        <f>0</f>
        <v>0</v>
      </c>
      <c r="AM50" s="148">
        <f>0</f>
        <v>0</v>
      </c>
      <c r="AN50" s="148">
        <f>0</f>
        <v>0</v>
      </c>
      <c r="AO50" s="148">
        <f>0</f>
        <v>0</v>
      </c>
    </row>
    <row r="51" spans="1:41" s="36" customFormat="1" ht="12">
      <c r="A51" s="119" t="s">
        <v>146</v>
      </c>
      <c r="B51" s="120" t="s">
        <v>53</v>
      </c>
      <c r="C51" s="121">
        <f>0.0201</f>
        <v>0.0201</v>
      </c>
      <c r="D51" s="121">
        <f>0.0402</f>
        <v>0.0402</v>
      </c>
      <c r="E51" s="121">
        <f>0.0491</f>
        <v>0.0491</v>
      </c>
      <c r="F51" s="121">
        <f>0.0666</f>
        <v>0.0666</v>
      </c>
      <c r="G51" s="121">
        <f>0.086</f>
        <v>0.086</v>
      </c>
      <c r="H51" s="121">
        <f>0.0849</f>
        <v>0.0849</v>
      </c>
      <c r="I51" s="121">
        <f>0.0938</f>
        <v>0.0938</v>
      </c>
      <c r="J51" s="121">
        <f>0.1044</f>
        <v>0.1044</v>
      </c>
      <c r="K51" s="121">
        <f>0.1146</f>
        <v>0.1146</v>
      </c>
      <c r="L51" s="121">
        <f>0</f>
        <v>0</v>
      </c>
      <c r="M51" s="121">
        <f>0</f>
        <v>0</v>
      </c>
      <c r="N51" s="121">
        <f>0</f>
        <v>0</v>
      </c>
      <c r="O51" s="121">
        <f>0</f>
        <v>0</v>
      </c>
      <c r="P51" s="121">
        <f>0</f>
        <v>0</v>
      </c>
      <c r="Q51" s="121">
        <f>0</f>
        <v>0</v>
      </c>
      <c r="R51" s="121">
        <f>0</f>
        <v>0</v>
      </c>
      <c r="S51" s="121">
        <f>0</f>
        <v>0</v>
      </c>
      <c r="T51" s="121">
        <f>0</f>
        <v>0</v>
      </c>
      <c r="U51" s="121">
        <f>0</f>
        <v>0</v>
      </c>
      <c r="V51" s="121">
        <f>0</f>
        <v>0</v>
      </c>
      <c r="W51" s="121">
        <f>0</f>
        <v>0</v>
      </c>
      <c r="X51" s="121">
        <f>0</f>
        <v>0</v>
      </c>
      <c r="Y51" s="121">
        <f>0</f>
        <v>0</v>
      </c>
      <c r="Z51" s="121">
        <f>0</f>
        <v>0</v>
      </c>
      <c r="AA51" s="121">
        <f>0</f>
        <v>0</v>
      </c>
      <c r="AB51" s="121">
        <f>0</f>
        <v>0</v>
      </c>
      <c r="AC51" s="121">
        <f>0</f>
        <v>0</v>
      </c>
      <c r="AD51" s="121">
        <f>0</f>
        <v>0</v>
      </c>
      <c r="AE51" s="121">
        <f>0</f>
        <v>0</v>
      </c>
      <c r="AF51" s="121">
        <f>0</f>
        <v>0</v>
      </c>
      <c r="AG51" s="121">
        <f>0</f>
        <v>0</v>
      </c>
      <c r="AH51" s="121">
        <f>0</f>
        <v>0</v>
      </c>
      <c r="AI51" s="121">
        <f>0</f>
        <v>0</v>
      </c>
      <c r="AJ51" s="121">
        <f>0</f>
        <v>0</v>
      </c>
      <c r="AK51" s="121">
        <f>0</f>
        <v>0</v>
      </c>
      <c r="AL51" s="121">
        <f>0</f>
        <v>0</v>
      </c>
      <c r="AM51" s="121">
        <f>0</f>
        <v>0</v>
      </c>
      <c r="AN51" s="121">
        <f>0</f>
        <v>0</v>
      </c>
      <c r="AO51" s="121">
        <f>0</f>
        <v>0</v>
      </c>
    </row>
    <row r="52" spans="1:41" s="36" customFormat="1" ht="24">
      <c r="A52" s="119">
        <v>21</v>
      </c>
      <c r="B52" s="120" t="s">
        <v>54</v>
      </c>
      <c r="C52" s="121">
        <f>0.0652</f>
        <v>0.0652</v>
      </c>
      <c r="D52" s="121">
        <f>0.0609</f>
        <v>0.0609</v>
      </c>
      <c r="E52" s="121">
        <f>0.0481</f>
        <v>0.0481</v>
      </c>
      <c r="F52" s="121">
        <f>0.0625</f>
        <v>0.0625</v>
      </c>
      <c r="G52" s="121">
        <f>0.0461</f>
        <v>0.0461</v>
      </c>
      <c r="H52" s="121">
        <f>0.0255</f>
        <v>0.0255</v>
      </c>
      <c r="I52" s="121">
        <f>0.0298</f>
        <v>0.0298</v>
      </c>
      <c r="J52" s="121">
        <f>0.0275</f>
        <v>0.0275</v>
      </c>
      <c r="K52" s="121">
        <f>0.0192</f>
        <v>0.0192</v>
      </c>
      <c r="L52" s="121">
        <f>0</f>
        <v>0</v>
      </c>
      <c r="M52" s="121">
        <f>0</f>
        <v>0</v>
      </c>
      <c r="N52" s="121">
        <f>0</f>
        <v>0</v>
      </c>
      <c r="O52" s="121">
        <f>0</f>
        <v>0</v>
      </c>
      <c r="P52" s="121">
        <f>0</f>
        <v>0</v>
      </c>
      <c r="Q52" s="121">
        <f>0</f>
        <v>0</v>
      </c>
      <c r="R52" s="121">
        <f>0</f>
        <v>0</v>
      </c>
      <c r="S52" s="121">
        <f>0</f>
        <v>0</v>
      </c>
      <c r="T52" s="121">
        <f>0</f>
        <v>0</v>
      </c>
      <c r="U52" s="121">
        <f>0</f>
        <v>0</v>
      </c>
      <c r="V52" s="121">
        <f>0</f>
        <v>0</v>
      </c>
      <c r="W52" s="121">
        <f>0</f>
        <v>0</v>
      </c>
      <c r="X52" s="121">
        <f>0</f>
        <v>0</v>
      </c>
      <c r="Y52" s="121">
        <f>0</f>
        <v>0</v>
      </c>
      <c r="Z52" s="121">
        <f>0</f>
        <v>0</v>
      </c>
      <c r="AA52" s="121">
        <f>0</f>
        <v>0</v>
      </c>
      <c r="AB52" s="121">
        <f>0</f>
        <v>0</v>
      </c>
      <c r="AC52" s="121">
        <f>0</f>
        <v>0</v>
      </c>
      <c r="AD52" s="121">
        <f>0</f>
        <v>0</v>
      </c>
      <c r="AE52" s="121">
        <f>0</f>
        <v>0</v>
      </c>
      <c r="AF52" s="121">
        <f>0</f>
        <v>0</v>
      </c>
      <c r="AG52" s="121">
        <f>0</f>
        <v>0</v>
      </c>
      <c r="AH52" s="121">
        <f>0</f>
        <v>0</v>
      </c>
      <c r="AI52" s="121">
        <f>0</f>
        <v>0</v>
      </c>
      <c r="AJ52" s="121">
        <f>0</f>
        <v>0</v>
      </c>
      <c r="AK52" s="121">
        <f>0</f>
        <v>0</v>
      </c>
      <c r="AL52" s="121">
        <f>0</f>
        <v>0</v>
      </c>
      <c r="AM52" s="121">
        <f>0</f>
        <v>0</v>
      </c>
      <c r="AN52" s="121">
        <f>0</f>
        <v>0</v>
      </c>
      <c r="AO52" s="121">
        <f>0</f>
        <v>0</v>
      </c>
    </row>
    <row r="53" spans="1:41" s="36" customFormat="1" ht="24">
      <c r="A53" s="118" t="s">
        <v>147</v>
      </c>
      <c r="B53" s="81" t="s">
        <v>76</v>
      </c>
      <c r="C53" s="123" t="str">
        <f>IF(C52&lt;=C$51,"Spełnia  art. 243","Nie spełnia art. 243")</f>
        <v>Nie spełnia art. 243</v>
      </c>
      <c r="D53" s="123" t="str">
        <f aca="true" t="shared" si="0" ref="D53:AD53">IF(D52&lt;=D$51,"Spełnia  art. 243","Nie spełnia art. 243")</f>
        <v>Nie spełnia art. 243</v>
      </c>
      <c r="E53" s="123" t="str">
        <f t="shared" si="0"/>
        <v>Spełnia  art. 243</v>
      </c>
      <c r="F53" s="123" t="str">
        <f t="shared" si="0"/>
        <v>Spełnia  art. 243</v>
      </c>
      <c r="G53" s="123" t="str">
        <f t="shared" si="0"/>
        <v>Spełnia  art. 243</v>
      </c>
      <c r="H53" s="123" t="str">
        <f t="shared" si="0"/>
        <v>Spełnia  art. 243</v>
      </c>
      <c r="I53" s="123" t="str">
        <f t="shared" si="0"/>
        <v>Spełnia  art. 243</v>
      </c>
      <c r="J53" s="123" t="str">
        <f t="shared" si="0"/>
        <v>Spełnia  art. 243</v>
      </c>
      <c r="K53" s="123" t="str">
        <f t="shared" si="0"/>
        <v>Spełnia  art. 243</v>
      </c>
      <c r="L53" s="123" t="str">
        <f t="shared" si="0"/>
        <v>Spełnia  art. 243</v>
      </c>
      <c r="M53" s="123" t="str">
        <f t="shared" si="0"/>
        <v>Spełnia  art. 243</v>
      </c>
      <c r="N53" s="123" t="str">
        <f t="shared" si="0"/>
        <v>Spełnia  art. 243</v>
      </c>
      <c r="O53" s="123" t="str">
        <f t="shared" si="0"/>
        <v>Spełnia  art. 243</v>
      </c>
      <c r="P53" s="123" t="str">
        <f t="shared" si="0"/>
        <v>Spełnia  art. 243</v>
      </c>
      <c r="Q53" s="123" t="str">
        <f t="shared" si="0"/>
        <v>Spełnia  art. 243</v>
      </c>
      <c r="R53" s="123" t="str">
        <f t="shared" si="0"/>
        <v>Spełnia  art. 243</v>
      </c>
      <c r="S53" s="123" t="str">
        <f t="shared" si="0"/>
        <v>Spełnia  art. 243</v>
      </c>
      <c r="T53" s="123" t="str">
        <f t="shared" si="0"/>
        <v>Spełnia  art. 243</v>
      </c>
      <c r="U53" s="123" t="str">
        <f t="shared" si="0"/>
        <v>Spełnia  art. 243</v>
      </c>
      <c r="V53" s="123" t="str">
        <f t="shared" si="0"/>
        <v>Spełnia  art. 243</v>
      </c>
      <c r="W53" s="123" t="str">
        <f t="shared" si="0"/>
        <v>Spełnia  art. 243</v>
      </c>
      <c r="X53" s="123" t="str">
        <f t="shared" si="0"/>
        <v>Spełnia  art. 243</v>
      </c>
      <c r="Y53" s="123" t="str">
        <f t="shared" si="0"/>
        <v>Spełnia  art. 243</v>
      </c>
      <c r="Z53" s="123" t="str">
        <f t="shared" si="0"/>
        <v>Spełnia  art. 243</v>
      </c>
      <c r="AA53" s="123" t="str">
        <f t="shared" si="0"/>
        <v>Spełnia  art. 243</v>
      </c>
      <c r="AB53" s="123" t="str">
        <f t="shared" si="0"/>
        <v>Spełnia  art. 243</v>
      </c>
      <c r="AC53" s="123" t="str">
        <f t="shared" si="0"/>
        <v>Spełnia  art. 243</v>
      </c>
      <c r="AD53" s="123" t="str">
        <f t="shared" si="0"/>
        <v>Spełnia  art. 243</v>
      </c>
      <c r="AE53" s="123" t="str">
        <f aca="true" t="shared" si="1" ref="AE53:AO53">IF(AE52&lt;=AE$51,"Spełnia  art. 243","Nie spełnia art. 243")</f>
        <v>Spełnia  art. 243</v>
      </c>
      <c r="AF53" s="123" t="str">
        <f t="shared" si="1"/>
        <v>Spełnia  art. 243</v>
      </c>
      <c r="AG53" s="123" t="str">
        <f t="shared" si="1"/>
        <v>Spełnia  art. 243</v>
      </c>
      <c r="AH53" s="123" t="str">
        <f t="shared" si="1"/>
        <v>Spełnia  art. 243</v>
      </c>
      <c r="AI53" s="123" t="str">
        <f t="shared" si="1"/>
        <v>Spełnia  art. 243</v>
      </c>
      <c r="AJ53" s="123" t="str">
        <f t="shared" si="1"/>
        <v>Spełnia  art. 243</v>
      </c>
      <c r="AK53" s="123" t="str">
        <f t="shared" si="1"/>
        <v>Spełnia  art. 243</v>
      </c>
      <c r="AL53" s="123" t="str">
        <f t="shared" si="1"/>
        <v>Spełnia  art. 243</v>
      </c>
      <c r="AM53" s="123" t="str">
        <f t="shared" si="1"/>
        <v>Spełnia  art. 243</v>
      </c>
      <c r="AN53" s="123" t="str">
        <f t="shared" si="1"/>
        <v>Spełnia  art. 243</v>
      </c>
      <c r="AO53" s="123" t="str">
        <f t="shared" si="1"/>
        <v>Spełnia  art. 243</v>
      </c>
    </row>
    <row r="54" spans="1:41" ht="25.5">
      <c r="A54" s="124">
        <v>22</v>
      </c>
      <c r="B54" s="125" t="s">
        <v>77</v>
      </c>
      <c r="C54" s="121">
        <f>0.0652</f>
        <v>0.0652</v>
      </c>
      <c r="D54" s="121">
        <f>0.0609</f>
        <v>0.0609</v>
      </c>
      <c r="E54" s="121">
        <f>0.0481</f>
        <v>0.0481</v>
      </c>
      <c r="F54" s="121">
        <f>0.0625</f>
        <v>0.0625</v>
      </c>
      <c r="G54" s="121">
        <f>0.0461</f>
        <v>0.0461</v>
      </c>
      <c r="H54" s="121">
        <f>0.0255</f>
        <v>0.0255</v>
      </c>
      <c r="I54" s="121">
        <f>0.0298</f>
        <v>0.0298</v>
      </c>
      <c r="J54" s="121">
        <f>0.0275</f>
        <v>0.0275</v>
      </c>
      <c r="K54" s="121">
        <f>0.0192</f>
        <v>0.0192</v>
      </c>
      <c r="L54" s="121">
        <f>0</f>
        <v>0</v>
      </c>
      <c r="M54" s="121">
        <f>0</f>
        <v>0</v>
      </c>
      <c r="N54" s="121">
        <f>0</f>
        <v>0</v>
      </c>
      <c r="O54" s="121">
        <f>0</f>
        <v>0</v>
      </c>
      <c r="P54" s="121">
        <f>0</f>
        <v>0</v>
      </c>
      <c r="Q54" s="121">
        <f>0</f>
        <v>0</v>
      </c>
      <c r="R54" s="121">
        <f>0</f>
        <v>0</v>
      </c>
      <c r="S54" s="121">
        <f>0</f>
        <v>0</v>
      </c>
      <c r="T54" s="121">
        <f>0</f>
        <v>0</v>
      </c>
      <c r="U54" s="121">
        <f>0</f>
        <v>0</v>
      </c>
      <c r="V54" s="121">
        <f>0</f>
        <v>0</v>
      </c>
      <c r="W54" s="121">
        <f>0</f>
        <v>0</v>
      </c>
      <c r="X54" s="121">
        <f>0</f>
        <v>0</v>
      </c>
      <c r="Y54" s="121">
        <f>0</f>
        <v>0</v>
      </c>
      <c r="Z54" s="121">
        <f>0</f>
        <v>0</v>
      </c>
      <c r="AA54" s="121">
        <f>0</f>
        <v>0</v>
      </c>
      <c r="AB54" s="121">
        <f>0</f>
        <v>0</v>
      </c>
      <c r="AC54" s="121">
        <f>0</f>
        <v>0</v>
      </c>
      <c r="AD54" s="121">
        <f>0</f>
        <v>0</v>
      </c>
      <c r="AE54" s="121">
        <f>0</f>
        <v>0</v>
      </c>
      <c r="AF54" s="121">
        <f>0</f>
        <v>0</v>
      </c>
      <c r="AG54" s="121">
        <f>0</f>
        <v>0</v>
      </c>
      <c r="AH54" s="121">
        <f>0</f>
        <v>0</v>
      </c>
      <c r="AI54" s="121">
        <f>0</f>
        <v>0</v>
      </c>
      <c r="AJ54" s="121">
        <f>0</f>
        <v>0</v>
      </c>
      <c r="AK54" s="121">
        <f>0</f>
        <v>0</v>
      </c>
      <c r="AL54" s="121">
        <f>0</f>
        <v>0</v>
      </c>
      <c r="AM54" s="121">
        <f>0</f>
        <v>0</v>
      </c>
      <c r="AN54" s="121">
        <f>0</f>
        <v>0</v>
      </c>
      <c r="AO54" s="121">
        <f>0</f>
        <v>0</v>
      </c>
    </row>
    <row r="55" spans="1:41" ht="25.5">
      <c r="A55" s="151" t="s">
        <v>148</v>
      </c>
      <c r="B55" s="152" t="s">
        <v>79</v>
      </c>
      <c r="C55" s="153" t="str">
        <f>IF(C54&lt;=C$51,"Spełnia  art. 243","Nie spełnia art. 243")</f>
        <v>Nie spełnia art. 243</v>
      </c>
      <c r="D55" s="153" t="str">
        <f aca="true" t="shared" si="2" ref="D55:AD55">IF(D54&lt;=D$51,"Spełnia  art. 243","Nie spełnia art. 243")</f>
        <v>Nie spełnia art. 243</v>
      </c>
      <c r="E55" s="153" t="str">
        <f t="shared" si="2"/>
        <v>Spełnia  art. 243</v>
      </c>
      <c r="F55" s="153" t="str">
        <f t="shared" si="2"/>
        <v>Spełnia  art. 243</v>
      </c>
      <c r="G55" s="153" t="str">
        <f t="shared" si="2"/>
        <v>Spełnia  art. 243</v>
      </c>
      <c r="H55" s="153" t="str">
        <f t="shared" si="2"/>
        <v>Spełnia  art. 243</v>
      </c>
      <c r="I55" s="153" t="str">
        <f t="shared" si="2"/>
        <v>Spełnia  art. 243</v>
      </c>
      <c r="J55" s="153" t="str">
        <f t="shared" si="2"/>
        <v>Spełnia  art. 243</v>
      </c>
      <c r="K55" s="153" t="str">
        <f t="shared" si="2"/>
        <v>Spełnia  art. 243</v>
      </c>
      <c r="L55" s="153" t="str">
        <f t="shared" si="2"/>
        <v>Spełnia  art. 243</v>
      </c>
      <c r="M55" s="153" t="str">
        <f t="shared" si="2"/>
        <v>Spełnia  art. 243</v>
      </c>
      <c r="N55" s="153" t="str">
        <f t="shared" si="2"/>
        <v>Spełnia  art. 243</v>
      </c>
      <c r="O55" s="153" t="str">
        <f t="shared" si="2"/>
        <v>Spełnia  art. 243</v>
      </c>
      <c r="P55" s="153" t="str">
        <f t="shared" si="2"/>
        <v>Spełnia  art. 243</v>
      </c>
      <c r="Q55" s="153" t="str">
        <f t="shared" si="2"/>
        <v>Spełnia  art. 243</v>
      </c>
      <c r="R55" s="153" t="str">
        <f t="shared" si="2"/>
        <v>Spełnia  art. 243</v>
      </c>
      <c r="S55" s="153" t="str">
        <f t="shared" si="2"/>
        <v>Spełnia  art. 243</v>
      </c>
      <c r="T55" s="153" t="str">
        <f t="shared" si="2"/>
        <v>Spełnia  art. 243</v>
      </c>
      <c r="U55" s="153" t="str">
        <f t="shared" si="2"/>
        <v>Spełnia  art. 243</v>
      </c>
      <c r="V55" s="153" t="str">
        <f t="shared" si="2"/>
        <v>Spełnia  art. 243</v>
      </c>
      <c r="W55" s="153" t="str">
        <f t="shared" si="2"/>
        <v>Spełnia  art. 243</v>
      </c>
      <c r="X55" s="153" t="str">
        <f t="shared" si="2"/>
        <v>Spełnia  art. 243</v>
      </c>
      <c r="Y55" s="153" t="str">
        <f t="shared" si="2"/>
        <v>Spełnia  art. 243</v>
      </c>
      <c r="Z55" s="153" t="str">
        <f t="shared" si="2"/>
        <v>Spełnia  art. 243</v>
      </c>
      <c r="AA55" s="153" t="str">
        <f t="shared" si="2"/>
        <v>Spełnia  art. 243</v>
      </c>
      <c r="AB55" s="153" t="str">
        <f t="shared" si="2"/>
        <v>Spełnia  art. 243</v>
      </c>
      <c r="AC55" s="153" t="str">
        <f t="shared" si="2"/>
        <v>Spełnia  art. 243</v>
      </c>
      <c r="AD55" s="153" t="str">
        <f t="shared" si="2"/>
        <v>Spełnia  art. 243</v>
      </c>
      <c r="AE55" s="153" t="str">
        <f aca="true" t="shared" si="3" ref="AE55:AO55">IF(AE54&lt;=AE$51,"Spełnia  art. 243","Nie spełnia art. 243")</f>
        <v>Spełnia  art. 243</v>
      </c>
      <c r="AF55" s="153" t="str">
        <f t="shared" si="3"/>
        <v>Spełnia  art. 243</v>
      </c>
      <c r="AG55" s="153" t="str">
        <f t="shared" si="3"/>
        <v>Spełnia  art. 243</v>
      </c>
      <c r="AH55" s="153" t="str">
        <f t="shared" si="3"/>
        <v>Spełnia  art. 243</v>
      </c>
      <c r="AI55" s="153" t="str">
        <f t="shared" si="3"/>
        <v>Spełnia  art. 243</v>
      </c>
      <c r="AJ55" s="153" t="str">
        <f t="shared" si="3"/>
        <v>Spełnia  art. 243</v>
      </c>
      <c r="AK55" s="153" t="str">
        <f t="shared" si="3"/>
        <v>Spełnia  art. 243</v>
      </c>
      <c r="AL55" s="153" t="str">
        <f t="shared" si="3"/>
        <v>Spełnia  art. 243</v>
      </c>
      <c r="AM55" s="153" t="str">
        <f t="shared" si="3"/>
        <v>Spełnia  art. 243</v>
      </c>
      <c r="AN55" s="153" t="str">
        <f t="shared" si="3"/>
        <v>Spełnia  art. 243</v>
      </c>
      <c r="AO55" s="153" t="str">
        <f t="shared" si="3"/>
        <v>Spełnia  art. 243</v>
      </c>
    </row>
    <row r="56" spans="1:41" ht="12.75">
      <c r="A56" s="154">
        <v>23</v>
      </c>
      <c r="B56" s="155" t="s">
        <v>149</v>
      </c>
      <c r="C56" s="139">
        <f>66365258</f>
        <v>66365258</v>
      </c>
      <c r="D56" s="139">
        <f>64287152</f>
        <v>64287152</v>
      </c>
      <c r="E56" s="139">
        <f>66537835</f>
        <v>66537835</v>
      </c>
      <c r="F56" s="139">
        <f>68866659</f>
        <v>68866659</v>
      </c>
      <c r="G56" s="139">
        <f>71276992</f>
        <v>71276992</v>
      </c>
      <c r="H56" s="139">
        <f>73771687</f>
        <v>73771687</v>
      </c>
      <c r="I56" s="139">
        <f>76353696</f>
        <v>76353696</v>
      </c>
      <c r="J56" s="139">
        <f>79026075</f>
        <v>79026075</v>
      </c>
      <c r="K56" s="139">
        <f>81791988</f>
        <v>81791988</v>
      </c>
      <c r="L56" s="139">
        <f>0</f>
        <v>0</v>
      </c>
      <c r="M56" s="139">
        <f>0</f>
        <v>0</v>
      </c>
      <c r="N56" s="139">
        <f>0</f>
        <v>0</v>
      </c>
      <c r="O56" s="139">
        <f>0</f>
        <v>0</v>
      </c>
      <c r="P56" s="139">
        <f>0</f>
        <v>0</v>
      </c>
      <c r="Q56" s="139">
        <f>0</f>
        <v>0</v>
      </c>
      <c r="R56" s="139">
        <f>0</f>
        <v>0</v>
      </c>
      <c r="S56" s="139">
        <f>0</f>
        <v>0</v>
      </c>
      <c r="T56" s="139">
        <f>0</f>
        <v>0</v>
      </c>
      <c r="U56" s="139">
        <f>0</f>
        <v>0</v>
      </c>
      <c r="V56" s="139">
        <f>0</f>
        <v>0</v>
      </c>
      <c r="W56" s="139">
        <f>0</f>
        <v>0</v>
      </c>
      <c r="X56" s="139">
        <f>0</f>
        <v>0</v>
      </c>
      <c r="Y56" s="139">
        <f>0</f>
        <v>0</v>
      </c>
      <c r="Z56" s="139">
        <f>0</f>
        <v>0</v>
      </c>
      <c r="AA56" s="139">
        <f>0</f>
        <v>0</v>
      </c>
      <c r="AB56" s="139">
        <f>0</f>
        <v>0</v>
      </c>
      <c r="AC56" s="139">
        <f>0</f>
        <v>0</v>
      </c>
      <c r="AD56" s="139">
        <f>0</f>
        <v>0</v>
      </c>
      <c r="AE56" s="139">
        <f>0</f>
        <v>0</v>
      </c>
      <c r="AF56" s="139">
        <f>0</f>
        <v>0</v>
      </c>
      <c r="AG56" s="139">
        <f>0</f>
        <v>0</v>
      </c>
      <c r="AH56" s="139">
        <f>0</f>
        <v>0</v>
      </c>
      <c r="AI56" s="139">
        <f>0</f>
        <v>0</v>
      </c>
      <c r="AJ56" s="139">
        <f>0</f>
        <v>0</v>
      </c>
      <c r="AK56" s="139">
        <f>0</f>
        <v>0</v>
      </c>
      <c r="AL56" s="139">
        <f>0</f>
        <v>0</v>
      </c>
      <c r="AM56" s="139">
        <f>0</f>
        <v>0</v>
      </c>
      <c r="AN56" s="139">
        <f>0</f>
        <v>0</v>
      </c>
      <c r="AO56" s="139">
        <f>0</f>
        <v>0</v>
      </c>
    </row>
    <row r="57" spans="1:41" ht="12.75">
      <c r="A57" s="126">
        <v>24</v>
      </c>
      <c r="B57" s="127" t="s">
        <v>150</v>
      </c>
      <c r="C57" s="117">
        <f>67656486</f>
        <v>67656486</v>
      </c>
      <c r="D57" s="117">
        <f>60005129</f>
        <v>60005129</v>
      </c>
      <c r="E57" s="117">
        <f>61813670</f>
        <v>61813670</v>
      </c>
      <c r="F57" s="117">
        <f>63171899</f>
        <v>63171899</v>
      </c>
      <c r="G57" s="117">
        <f>64565746</f>
        <v>64565746</v>
      </c>
      <c r="H57" s="117">
        <f>66062665</f>
        <v>66062665</v>
      </c>
      <c r="I57" s="117">
        <f>67601632</f>
        <v>67601632</v>
      </c>
      <c r="J57" s="117">
        <f>69175647</f>
        <v>69175647</v>
      </c>
      <c r="K57" s="117">
        <f>70799739</f>
        <v>70799739</v>
      </c>
      <c r="L57" s="117">
        <f>0</f>
        <v>0</v>
      </c>
      <c r="M57" s="117">
        <f>0</f>
        <v>0</v>
      </c>
      <c r="N57" s="117">
        <f>0</f>
        <v>0</v>
      </c>
      <c r="O57" s="117">
        <f>0</f>
        <v>0</v>
      </c>
      <c r="P57" s="117">
        <f>0</f>
        <v>0</v>
      </c>
      <c r="Q57" s="117">
        <f>0</f>
        <v>0</v>
      </c>
      <c r="R57" s="117">
        <f>0</f>
        <v>0</v>
      </c>
      <c r="S57" s="117">
        <f>0</f>
        <v>0</v>
      </c>
      <c r="T57" s="117">
        <f>0</f>
        <v>0</v>
      </c>
      <c r="U57" s="117">
        <f>0</f>
        <v>0</v>
      </c>
      <c r="V57" s="117">
        <f>0</f>
        <v>0</v>
      </c>
      <c r="W57" s="117">
        <f>0</f>
        <v>0</v>
      </c>
      <c r="X57" s="117">
        <f>0</f>
        <v>0</v>
      </c>
      <c r="Y57" s="117">
        <f>0</f>
        <v>0</v>
      </c>
      <c r="Z57" s="117">
        <f>0</f>
        <v>0</v>
      </c>
      <c r="AA57" s="117">
        <f>0</f>
        <v>0</v>
      </c>
      <c r="AB57" s="117">
        <f>0</f>
        <v>0</v>
      </c>
      <c r="AC57" s="117">
        <f>0</f>
        <v>0</v>
      </c>
      <c r="AD57" s="117">
        <f>0</f>
        <v>0</v>
      </c>
      <c r="AE57" s="117">
        <f>0</f>
        <v>0</v>
      </c>
      <c r="AF57" s="117">
        <f>0</f>
        <v>0</v>
      </c>
      <c r="AG57" s="117">
        <f>0</f>
        <v>0</v>
      </c>
      <c r="AH57" s="117">
        <f>0</f>
        <v>0</v>
      </c>
      <c r="AI57" s="117">
        <f>0</f>
        <v>0</v>
      </c>
      <c r="AJ57" s="117">
        <f>0</f>
        <v>0</v>
      </c>
      <c r="AK57" s="117">
        <f>0</f>
        <v>0</v>
      </c>
      <c r="AL57" s="117">
        <f>0</f>
        <v>0</v>
      </c>
      <c r="AM57" s="117">
        <f>0</f>
        <v>0</v>
      </c>
      <c r="AN57" s="117">
        <f>0</f>
        <v>0</v>
      </c>
      <c r="AO57" s="117">
        <f>0</f>
        <v>0</v>
      </c>
    </row>
    <row r="58" spans="1:41" ht="12.75">
      <c r="A58" s="151">
        <v>25</v>
      </c>
      <c r="B58" s="156" t="s">
        <v>49</v>
      </c>
      <c r="C58" s="130">
        <f>-1291228</f>
        <v>-1291228</v>
      </c>
      <c r="D58" s="130">
        <f>4282023</f>
        <v>4282023</v>
      </c>
      <c r="E58" s="130">
        <f>4724165</f>
        <v>4724165</v>
      </c>
      <c r="F58" s="130">
        <f>5694760</f>
        <v>5694760</v>
      </c>
      <c r="G58" s="130">
        <f>6711246</f>
        <v>6711246</v>
      </c>
      <c r="H58" s="130">
        <f>7709022</f>
        <v>7709022</v>
      </c>
      <c r="I58" s="130">
        <f>8752064</f>
        <v>8752064</v>
      </c>
      <c r="J58" s="130">
        <f>9850428</f>
        <v>9850428</v>
      </c>
      <c r="K58" s="130">
        <f>10992249</f>
        <v>10992249</v>
      </c>
      <c r="L58" s="130">
        <f>0</f>
        <v>0</v>
      </c>
      <c r="M58" s="130">
        <f>0</f>
        <v>0</v>
      </c>
      <c r="N58" s="130">
        <f>0</f>
        <v>0</v>
      </c>
      <c r="O58" s="130">
        <f>0</f>
        <v>0</v>
      </c>
      <c r="P58" s="130">
        <f>0</f>
        <v>0</v>
      </c>
      <c r="Q58" s="130">
        <f>0</f>
        <v>0</v>
      </c>
      <c r="R58" s="130">
        <f>0</f>
        <v>0</v>
      </c>
      <c r="S58" s="130">
        <f>0</f>
        <v>0</v>
      </c>
      <c r="T58" s="130">
        <f>0</f>
        <v>0</v>
      </c>
      <c r="U58" s="130">
        <f>0</f>
        <v>0</v>
      </c>
      <c r="V58" s="130">
        <f>0</f>
        <v>0</v>
      </c>
      <c r="W58" s="130">
        <f>0</f>
        <v>0</v>
      </c>
      <c r="X58" s="130">
        <f>0</f>
        <v>0</v>
      </c>
      <c r="Y58" s="130">
        <f>0</f>
        <v>0</v>
      </c>
      <c r="Z58" s="130">
        <f>0</f>
        <v>0</v>
      </c>
      <c r="AA58" s="130">
        <f>0</f>
        <v>0</v>
      </c>
      <c r="AB58" s="130">
        <f>0</f>
        <v>0</v>
      </c>
      <c r="AC58" s="130">
        <f>0</f>
        <v>0</v>
      </c>
      <c r="AD58" s="130">
        <f>0</f>
        <v>0</v>
      </c>
      <c r="AE58" s="130">
        <f>0</f>
        <v>0</v>
      </c>
      <c r="AF58" s="130">
        <f>0</f>
        <v>0</v>
      </c>
      <c r="AG58" s="130">
        <f>0</f>
        <v>0</v>
      </c>
      <c r="AH58" s="130">
        <f>0</f>
        <v>0</v>
      </c>
      <c r="AI58" s="130">
        <f>0</f>
        <v>0</v>
      </c>
      <c r="AJ58" s="130">
        <f>0</f>
        <v>0</v>
      </c>
      <c r="AK58" s="130">
        <f>0</f>
        <v>0</v>
      </c>
      <c r="AL58" s="130">
        <f>0</f>
        <v>0</v>
      </c>
      <c r="AM58" s="130">
        <f>0</f>
        <v>0</v>
      </c>
      <c r="AN58" s="130">
        <f>0</f>
        <v>0</v>
      </c>
      <c r="AO58" s="130">
        <f>0</f>
        <v>0</v>
      </c>
    </row>
    <row r="59" spans="1:41" ht="12.75">
      <c r="A59" s="154"/>
      <c r="B59" s="155" t="s">
        <v>194</v>
      </c>
      <c r="C59" s="139">
        <f>+C10</f>
        <v>3520000</v>
      </c>
      <c r="D59" s="139">
        <f aca="true" t="shared" si="4" ref="D59:AO59">+D10</f>
        <v>2200000</v>
      </c>
      <c r="E59" s="139">
        <f t="shared" si="4"/>
        <v>500000</v>
      </c>
      <c r="F59" s="139">
        <f t="shared" si="4"/>
        <v>0</v>
      </c>
      <c r="G59" s="139">
        <f t="shared" si="4"/>
        <v>0</v>
      </c>
      <c r="H59" s="139">
        <f t="shared" si="4"/>
        <v>0</v>
      </c>
      <c r="I59" s="139">
        <f t="shared" si="4"/>
        <v>0</v>
      </c>
      <c r="J59" s="139">
        <f t="shared" si="4"/>
        <v>0</v>
      </c>
      <c r="K59" s="139">
        <f t="shared" si="4"/>
        <v>0</v>
      </c>
      <c r="L59" s="139">
        <f t="shared" si="4"/>
        <v>0</v>
      </c>
      <c r="M59" s="139">
        <f t="shared" si="4"/>
        <v>0</v>
      </c>
      <c r="N59" s="139">
        <f t="shared" si="4"/>
        <v>0</v>
      </c>
      <c r="O59" s="139">
        <f t="shared" si="4"/>
        <v>0</v>
      </c>
      <c r="P59" s="139">
        <f t="shared" si="4"/>
        <v>0</v>
      </c>
      <c r="Q59" s="139">
        <f t="shared" si="4"/>
        <v>0</v>
      </c>
      <c r="R59" s="139">
        <f t="shared" si="4"/>
        <v>0</v>
      </c>
      <c r="S59" s="139">
        <f t="shared" si="4"/>
        <v>0</v>
      </c>
      <c r="T59" s="139">
        <f t="shared" si="4"/>
        <v>0</v>
      </c>
      <c r="U59" s="139">
        <f t="shared" si="4"/>
        <v>0</v>
      </c>
      <c r="V59" s="139">
        <f t="shared" si="4"/>
        <v>0</v>
      </c>
      <c r="W59" s="139">
        <f t="shared" si="4"/>
        <v>0</v>
      </c>
      <c r="X59" s="139">
        <f t="shared" si="4"/>
        <v>0</v>
      </c>
      <c r="Y59" s="139">
        <f t="shared" si="4"/>
        <v>0</v>
      </c>
      <c r="Z59" s="139">
        <f t="shared" si="4"/>
        <v>0</v>
      </c>
      <c r="AA59" s="139">
        <f t="shared" si="4"/>
        <v>0</v>
      </c>
      <c r="AB59" s="139">
        <f t="shared" si="4"/>
        <v>0</v>
      </c>
      <c r="AC59" s="139">
        <f t="shared" si="4"/>
        <v>0</v>
      </c>
      <c r="AD59" s="139">
        <f t="shared" si="4"/>
        <v>0</v>
      </c>
      <c r="AE59" s="139">
        <f t="shared" si="4"/>
        <v>0</v>
      </c>
      <c r="AF59" s="139">
        <f t="shared" si="4"/>
        <v>0</v>
      </c>
      <c r="AG59" s="139">
        <f t="shared" si="4"/>
        <v>0</v>
      </c>
      <c r="AH59" s="139">
        <f t="shared" si="4"/>
        <v>0</v>
      </c>
      <c r="AI59" s="139">
        <f t="shared" si="4"/>
        <v>0</v>
      </c>
      <c r="AJ59" s="139">
        <f t="shared" si="4"/>
        <v>0</v>
      </c>
      <c r="AK59" s="139">
        <f t="shared" si="4"/>
        <v>0</v>
      </c>
      <c r="AL59" s="139">
        <f t="shared" si="4"/>
        <v>0</v>
      </c>
      <c r="AM59" s="139">
        <f t="shared" si="4"/>
        <v>0</v>
      </c>
      <c r="AN59" s="139">
        <f t="shared" si="4"/>
        <v>0</v>
      </c>
      <c r="AO59" s="139">
        <f t="shared" si="4"/>
        <v>0</v>
      </c>
    </row>
    <row r="60" spans="1:41" ht="12.75">
      <c r="A60" s="126"/>
      <c r="B60" s="127" t="s">
        <v>195</v>
      </c>
      <c r="C60" s="117">
        <f>+C33</f>
        <v>1352906</v>
      </c>
      <c r="D60" s="117">
        <f aca="true" t="shared" si="5" ref="D60:AO60">+D33</f>
        <v>3434023</v>
      </c>
      <c r="E60" s="117">
        <f t="shared" si="5"/>
        <v>2826165</v>
      </c>
      <c r="F60" s="117">
        <f t="shared" si="5"/>
        <v>2046760</v>
      </c>
      <c r="G60" s="117">
        <f t="shared" si="5"/>
        <v>3913246</v>
      </c>
      <c r="H60" s="117">
        <f t="shared" si="5"/>
        <v>6211022</v>
      </c>
      <c r="I60" s="117">
        <f t="shared" si="5"/>
        <v>6754064</v>
      </c>
      <c r="J60" s="117">
        <f t="shared" si="5"/>
        <v>7852428</v>
      </c>
      <c r="K60" s="117">
        <f t="shared" si="5"/>
        <v>9492249</v>
      </c>
      <c r="L60" s="117">
        <f t="shared" si="5"/>
        <v>0</v>
      </c>
      <c r="M60" s="117">
        <f t="shared" si="5"/>
        <v>0</v>
      </c>
      <c r="N60" s="117">
        <f t="shared" si="5"/>
        <v>0</v>
      </c>
      <c r="O60" s="117">
        <f t="shared" si="5"/>
        <v>0</v>
      </c>
      <c r="P60" s="117">
        <f t="shared" si="5"/>
        <v>0</v>
      </c>
      <c r="Q60" s="117">
        <f t="shared" si="5"/>
        <v>0</v>
      </c>
      <c r="R60" s="117">
        <f t="shared" si="5"/>
        <v>0</v>
      </c>
      <c r="S60" s="117">
        <f t="shared" si="5"/>
        <v>0</v>
      </c>
      <c r="T60" s="117">
        <f t="shared" si="5"/>
        <v>0</v>
      </c>
      <c r="U60" s="117">
        <f t="shared" si="5"/>
        <v>0</v>
      </c>
      <c r="V60" s="117">
        <f t="shared" si="5"/>
        <v>0</v>
      </c>
      <c r="W60" s="117">
        <f t="shared" si="5"/>
        <v>0</v>
      </c>
      <c r="X60" s="117">
        <f t="shared" si="5"/>
        <v>0</v>
      </c>
      <c r="Y60" s="117">
        <f t="shared" si="5"/>
        <v>0</v>
      </c>
      <c r="Z60" s="117">
        <f t="shared" si="5"/>
        <v>0</v>
      </c>
      <c r="AA60" s="117">
        <f t="shared" si="5"/>
        <v>0</v>
      </c>
      <c r="AB60" s="117">
        <f t="shared" si="5"/>
        <v>0</v>
      </c>
      <c r="AC60" s="117">
        <f t="shared" si="5"/>
        <v>0</v>
      </c>
      <c r="AD60" s="117">
        <f t="shared" si="5"/>
        <v>0</v>
      </c>
      <c r="AE60" s="117">
        <f t="shared" si="5"/>
        <v>0</v>
      </c>
      <c r="AF60" s="117">
        <f t="shared" si="5"/>
        <v>0</v>
      </c>
      <c r="AG60" s="117">
        <f t="shared" si="5"/>
        <v>0</v>
      </c>
      <c r="AH60" s="117">
        <f t="shared" si="5"/>
        <v>0</v>
      </c>
      <c r="AI60" s="117">
        <f t="shared" si="5"/>
        <v>0</v>
      </c>
      <c r="AJ60" s="117">
        <f t="shared" si="5"/>
        <v>0</v>
      </c>
      <c r="AK60" s="117">
        <f t="shared" si="5"/>
        <v>0</v>
      </c>
      <c r="AL60" s="117">
        <f t="shared" si="5"/>
        <v>0</v>
      </c>
      <c r="AM60" s="117">
        <f t="shared" si="5"/>
        <v>0</v>
      </c>
      <c r="AN60" s="117">
        <f t="shared" si="5"/>
        <v>0</v>
      </c>
      <c r="AO60" s="117">
        <f t="shared" si="5"/>
        <v>0</v>
      </c>
    </row>
    <row r="61" spans="1:41" ht="12.75">
      <c r="A61" s="151"/>
      <c r="B61" s="156" t="s">
        <v>193</v>
      </c>
      <c r="C61" s="130">
        <f>+C59-C60</f>
        <v>2167094</v>
      </c>
      <c r="D61" s="130">
        <f aca="true" t="shared" si="6" ref="D61:AO61">+D59-D60</f>
        <v>-1234023</v>
      </c>
      <c r="E61" s="130">
        <f t="shared" si="6"/>
        <v>-2326165</v>
      </c>
      <c r="F61" s="130">
        <f t="shared" si="6"/>
        <v>-2046760</v>
      </c>
      <c r="G61" s="130">
        <f t="shared" si="6"/>
        <v>-3913246</v>
      </c>
      <c r="H61" s="130">
        <f t="shared" si="6"/>
        <v>-6211022</v>
      </c>
      <c r="I61" s="130">
        <f t="shared" si="6"/>
        <v>-6754064</v>
      </c>
      <c r="J61" s="130">
        <f t="shared" si="6"/>
        <v>-7852428</v>
      </c>
      <c r="K61" s="130">
        <f t="shared" si="6"/>
        <v>-9492249</v>
      </c>
      <c r="L61" s="130">
        <f t="shared" si="6"/>
        <v>0</v>
      </c>
      <c r="M61" s="130">
        <f t="shared" si="6"/>
        <v>0</v>
      </c>
      <c r="N61" s="130">
        <f t="shared" si="6"/>
        <v>0</v>
      </c>
      <c r="O61" s="130">
        <f t="shared" si="6"/>
        <v>0</v>
      </c>
      <c r="P61" s="130">
        <f t="shared" si="6"/>
        <v>0</v>
      </c>
      <c r="Q61" s="130">
        <f t="shared" si="6"/>
        <v>0</v>
      </c>
      <c r="R61" s="130">
        <f t="shared" si="6"/>
        <v>0</v>
      </c>
      <c r="S61" s="130">
        <f t="shared" si="6"/>
        <v>0</v>
      </c>
      <c r="T61" s="130">
        <f t="shared" si="6"/>
        <v>0</v>
      </c>
      <c r="U61" s="130">
        <f t="shared" si="6"/>
        <v>0</v>
      </c>
      <c r="V61" s="130">
        <f t="shared" si="6"/>
        <v>0</v>
      </c>
      <c r="W61" s="130">
        <f t="shared" si="6"/>
        <v>0</v>
      </c>
      <c r="X61" s="130">
        <f t="shared" si="6"/>
        <v>0</v>
      </c>
      <c r="Y61" s="130">
        <f t="shared" si="6"/>
        <v>0</v>
      </c>
      <c r="Z61" s="130">
        <f t="shared" si="6"/>
        <v>0</v>
      </c>
      <c r="AA61" s="130">
        <f t="shared" si="6"/>
        <v>0</v>
      </c>
      <c r="AB61" s="130">
        <f t="shared" si="6"/>
        <v>0</v>
      </c>
      <c r="AC61" s="130">
        <f t="shared" si="6"/>
        <v>0</v>
      </c>
      <c r="AD61" s="130">
        <f t="shared" si="6"/>
        <v>0</v>
      </c>
      <c r="AE61" s="130">
        <f t="shared" si="6"/>
        <v>0</v>
      </c>
      <c r="AF61" s="130">
        <f t="shared" si="6"/>
        <v>0</v>
      </c>
      <c r="AG61" s="130">
        <f t="shared" si="6"/>
        <v>0</v>
      </c>
      <c r="AH61" s="130">
        <f t="shared" si="6"/>
        <v>0</v>
      </c>
      <c r="AI61" s="130">
        <f t="shared" si="6"/>
        <v>0</v>
      </c>
      <c r="AJ61" s="130">
        <f t="shared" si="6"/>
        <v>0</v>
      </c>
      <c r="AK61" s="130">
        <f t="shared" si="6"/>
        <v>0</v>
      </c>
      <c r="AL61" s="130">
        <f t="shared" si="6"/>
        <v>0</v>
      </c>
      <c r="AM61" s="130">
        <f t="shared" si="6"/>
        <v>0</v>
      </c>
      <c r="AN61" s="130">
        <f t="shared" si="6"/>
        <v>0</v>
      </c>
      <c r="AO61" s="130">
        <f t="shared" si="6"/>
        <v>0</v>
      </c>
    </row>
    <row r="62" spans="1:41" ht="12.75">
      <c r="A62" s="154">
        <v>26</v>
      </c>
      <c r="B62" s="155" t="s">
        <v>151</v>
      </c>
      <c r="C62" s="139">
        <f>69885258</f>
        <v>69885258</v>
      </c>
      <c r="D62" s="139">
        <f>66487152</f>
        <v>66487152</v>
      </c>
      <c r="E62" s="139">
        <f>67037835</f>
        <v>67037835</v>
      </c>
      <c r="F62" s="139">
        <f>68866659</f>
        <v>68866659</v>
      </c>
      <c r="G62" s="139">
        <f>71276992</f>
        <v>71276992</v>
      </c>
      <c r="H62" s="139">
        <f>73771687</f>
        <v>73771687</v>
      </c>
      <c r="I62" s="139">
        <f>76353696</f>
        <v>76353696</v>
      </c>
      <c r="J62" s="139">
        <f>79026075</f>
        <v>79026075</v>
      </c>
      <c r="K62" s="139">
        <f>81791988</f>
        <v>81791988</v>
      </c>
      <c r="L62" s="139">
        <f>0</f>
        <v>0</v>
      </c>
      <c r="M62" s="139">
        <f>0</f>
        <v>0</v>
      </c>
      <c r="N62" s="139">
        <f>0</f>
        <v>0</v>
      </c>
      <c r="O62" s="139">
        <f>0</f>
        <v>0</v>
      </c>
      <c r="P62" s="139">
        <f>0</f>
        <v>0</v>
      </c>
      <c r="Q62" s="139">
        <f>0</f>
        <v>0</v>
      </c>
      <c r="R62" s="139">
        <f>0</f>
        <v>0</v>
      </c>
      <c r="S62" s="139">
        <f>0</f>
        <v>0</v>
      </c>
      <c r="T62" s="139">
        <f>0</f>
        <v>0</v>
      </c>
      <c r="U62" s="139">
        <f>0</f>
        <v>0</v>
      </c>
      <c r="V62" s="139">
        <f>0</f>
        <v>0</v>
      </c>
      <c r="W62" s="139">
        <f>0</f>
        <v>0</v>
      </c>
      <c r="X62" s="139">
        <f>0</f>
        <v>0</v>
      </c>
      <c r="Y62" s="139">
        <f>0</f>
        <v>0</v>
      </c>
      <c r="Z62" s="139">
        <f>0</f>
        <v>0</v>
      </c>
      <c r="AA62" s="139">
        <f>0</f>
        <v>0</v>
      </c>
      <c r="AB62" s="139">
        <f>0</f>
        <v>0</v>
      </c>
      <c r="AC62" s="139">
        <f>0</f>
        <v>0</v>
      </c>
      <c r="AD62" s="139">
        <f>0</f>
        <v>0</v>
      </c>
      <c r="AE62" s="139">
        <f>0</f>
        <v>0</v>
      </c>
      <c r="AF62" s="139">
        <f>0</f>
        <v>0</v>
      </c>
      <c r="AG62" s="139">
        <f>0</f>
        <v>0</v>
      </c>
      <c r="AH62" s="139">
        <f>0</f>
        <v>0</v>
      </c>
      <c r="AI62" s="139">
        <f>0</f>
        <v>0</v>
      </c>
      <c r="AJ62" s="139">
        <f>0</f>
        <v>0</v>
      </c>
      <c r="AK62" s="139">
        <f>0</f>
        <v>0</v>
      </c>
      <c r="AL62" s="139">
        <f>0</f>
        <v>0</v>
      </c>
      <c r="AM62" s="139">
        <f>0</f>
        <v>0</v>
      </c>
      <c r="AN62" s="139">
        <f>0</f>
        <v>0</v>
      </c>
      <c r="AO62" s="139">
        <f>0</f>
        <v>0</v>
      </c>
    </row>
    <row r="63" spans="1:41" ht="12.75">
      <c r="A63" s="126">
        <v>27</v>
      </c>
      <c r="B63" s="127" t="s">
        <v>46</v>
      </c>
      <c r="C63" s="117">
        <f>69009392</f>
        <v>69009392</v>
      </c>
      <c r="D63" s="117">
        <f>63439152</f>
        <v>63439152</v>
      </c>
      <c r="E63" s="117">
        <f>64639835</f>
        <v>64639835</v>
      </c>
      <c r="F63" s="117">
        <f>65218659</f>
        <v>65218659</v>
      </c>
      <c r="G63" s="117">
        <f>68478992</f>
        <v>68478992</v>
      </c>
      <c r="H63" s="117">
        <f>72273687</f>
        <v>72273687</v>
      </c>
      <c r="I63" s="117">
        <f>74355696</f>
        <v>74355696</v>
      </c>
      <c r="J63" s="117">
        <f>77028075</f>
        <v>77028075</v>
      </c>
      <c r="K63" s="117">
        <f>80291988</f>
        <v>80291988</v>
      </c>
      <c r="L63" s="117">
        <f>0</f>
        <v>0</v>
      </c>
      <c r="M63" s="117">
        <f>0</f>
        <v>0</v>
      </c>
      <c r="N63" s="117">
        <f>0</f>
        <v>0</v>
      </c>
      <c r="O63" s="117">
        <f>0</f>
        <v>0</v>
      </c>
      <c r="P63" s="117">
        <f>0</f>
        <v>0</v>
      </c>
      <c r="Q63" s="117">
        <f>0</f>
        <v>0</v>
      </c>
      <c r="R63" s="117">
        <f>0</f>
        <v>0</v>
      </c>
      <c r="S63" s="117">
        <f>0</f>
        <v>0</v>
      </c>
      <c r="T63" s="117">
        <f>0</f>
        <v>0</v>
      </c>
      <c r="U63" s="117">
        <f>0</f>
        <v>0</v>
      </c>
      <c r="V63" s="117">
        <f>0</f>
        <v>0</v>
      </c>
      <c r="W63" s="117">
        <f>0</f>
        <v>0</v>
      </c>
      <c r="X63" s="117">
        <f>0</f>
        <v>0</v>
      </c>
      <c r="Y63" s="117">
        <f>0</f>
        <v>0</v>
      </c>
      <c r="Z63" s="117">
        <f>0</f>
        <v>0</v>
      </c>
      <c r="AA63" s="117">
        <f>0</f>
        <v>0</v>
      </c>
      <c r="AB63" s="117">
        <f>0</f>
        <v>0</v>
      </c>
      <c r="AC63" s="117">
        <f>0</f>
        <v>0</v>
      </c>
      <c r="AD63" s="117">
        <f>0</f>
        <v>0</v>
      </c>
      <c r="AE63" s="117">
        <f>0</f>
        <v>0</v>
      </c>
      <c r="AF63" s="117">
        <f>0</f>
        <v>0</v>
      </c>
      <c r="AG63" s="117">
        <f>0</f>
        <v>0</v>
      </c>
      <c r="AH63" s="117">
        <f>0</f>
        <v>0</v>
      </c>
      <c r="AI63" s="117">
        <f>0</f>
        <v>0</v>
      </c>
      <c r="AJ63" s="117">
        <f>0</f>
        <v>0</v>
      </c>
      <c r="AK63" s="117">
        <f>0</f>
        <v>0</v>
      </c>
      <c r="AL63" s="117">
        <f>0</f>
        <v>0</v>
      </c>
      <c r="AM63" s="117">
        <f>0</f>
        <v>0</v>
      </c>
      <c r="AN63" s="117">
        <f>0</f>
        <v>0</v>
      </c>
      <c r="AO63" s="117">
        <f>0</f>
        <v>0</v>
      </c>
    </row>
    <row r="64" spans="1:41" ht="12">
      <c r="A64" s="128">
        <v>28</v>
      </c>
      <c r="B64" s="159" t="s">
        <v>48</v>
      </c>
      <c r="C64" s="130">
        <f>875866</f>
        <v>875866</v>
      </c>
      <c r="D64" s="130">
        <f>3048000</f>
        <v>3048000</v>
      </c>
      <c r="E64" s="130">
        <f>2398000</f>
        <v>2398000</v>
      </c>
      <c r="F64" s="130">
        <f>3648000</f>
        <v>3648000</v>
      </c>
      <c r="G64" s="130">
        <f>2798000</f>
        <v>2798000</v>
      </c>
      <c r="H64" s="130">
        <f>1498000</f>
        <v>1498000</v>
      </c>
      <c r="I64" s="130">
        <f>1998000</f>
        <v>1998000</v>
      </c>
      <c r="J64" s="130">
        <f>1998000</f>
        <v>1998000</v>
      </c>
      <c r="K64" s="130">
        <f>1500000</f>
        <v>1500000</v>
      </c>
      <c r="L64" s="130">
        <f>0</f>
        <v>0</v>
      </c>
      <c r="M64" s="130">
        <f>0</f>
        <v>0</v>
      </c>
      <c r="N64" s="130">
        <f>0</f>
        <v>0</v>
      </c>
      <c r="O64" s="130">
        <f>0</f>
        <v>0</v>
      </c>
      <c r="P64" s="130">
        <f>0</f>
        <v>0</v>
      </c>
      <c r="Q64" s="130">
        <f>0</f>
        <v>0</v>
      </c>
      <c r="R64" s="130">
        <f>0</f>
        <v>0</v>
      </c>
      <c r="S64" s="130">
        <f>0</f>
        <v>0</v>
      </c>
      <c r="T64" s="130">
        <f>0</f>
        <v>0</v>
      </c>
      <c r="U64" s="130">
        <f>0</f>
        <v>0</v>
      </c>
      <c r="V64" s="130">
        <f>0</f>
        <v>0</v>
      </c>
      <c r="W64" s="130">
        <f>0</f>
        <v>0</v>
      </c>
      <c r="X64" s="130">
        <f>0</f>
        <v>0</v>
      </c>
      <c r="Y64" s="130">
        <f>0</f>
        <v>0</v>
      </c>
      <c r="Z64" s="130">
        <f>0</f>
        <v>0</v>
      </c>
      <c r="AA64" s="130">
        <f>0</f>
        <v>0</v>
      </c>
      <c r="AB64" s="130">
        <f>0</f>
        <v>0</v>
      </c>
      <c r="AC64" s="130">
        <f>0</f>
        <v>0</v>
      </c>
      <c r="AD64" s="130">
        <f>0</f>
        <v>0</v>
      </c>
      <c r="AE64" s="130">
        <f>0</f>
        <v>0</v>
      </c>
      <c r="AF64" s="130">
        <f>0</f>
        <v>0</v>
      </c>
      <c r="AG64" s="130">
        <f>0</f>
        <v>0</v>
      </c>
      <c r="AH64" s="130">
        <f>0</f>
        <v>0</v>
      </c>
      <c r="AI64" s="130">
        <f>0</f>
        <v>0</v>
      </c>
      <c r="AJ64" s="130">
        <f>0</f>
        <v>0</v>
      </c>
      <c r="AK64" s="130">
        <f>0</f>
        <v>0</v>
      </c>
      <c r="AL64" s="130">
        <f>0</f>
        <v>0</v>
      </c>
      <c r="AM64" s="130">
        <f>0</f>
        <v>0</v>
      </c>
      <c r="AN64" s="130">
        <f>0</f>
        <v>0</v>
      </c>
      <c r="AO64" s="130">
        <f>0</f>
        <v>0</v>
      </c>
    </row>
    <row r="65" spans="1:41" ht="12">
      <c r="A65" s="157">
        <v>29</v>
      </c>
      <c r="B65" s="158" t="s">
        <v>152</v>
      </c>
      <c r="C65" s="138">
        <f>2128239</f>
        <v>2128239</v>
      </c>
      <c r="D65" s="138">
        <f>0</f>
        <v>0</v>
      </c>
      <c r="E65" s="138">
        <f>0</f>
        <v>0</v>
      </c>
      <c r="F65" s="138">
        <f>0</f>
        <v>0</v>
      </c>
      <c r="G65" s="138">
        <f>0</f>
        <v>0</v>
      </c>
      <c r="H65" s="138">
        <f>0</f>
        <v>0</v>
      </c>
      <c r="I65" s="138">
        <f>0</f>
        <v>0</v>
      </c>
      <c r="J65" s="138">
        <f>0</f>
        <v>0</v>
      </c>
      <c r="K65" s="138">
        <f>0</f>
        <v>0</v>
      </c>
      <c r="L65" s="138">
        <f>0</f>
        <v>0</v>
      </c>
      <c r="M65" s="138">
        <f>0</f>
        <v>0</v>
      </c>
      <c r="N65" s="138">
        <f>0</f>
        <v>0</v>
      </c>
      <c r="O65" s="138">
        <f>0</f>
        <v>0</v>
      </c>
      <c r="P65" s="138">
        <f>0</f>
        <v>0</v>
      </c>
      <c r="Q65" s="138">
        <f>0</f>
        <v>0</v>
      </c>
      <c r="R65" s="138">
        <f>0</f>
        <v>0</v>
      </c>
      <c r="S65" s="138">
        <f>0</f>
        <v>0</v>
      </c>
      <c r="T65" s="138">
        <f>0</f>
        <v>0</v>
      </c>
      <c r="U65" s="138">
        <f>0</f>
        <v>0</v>
      </c>
      <c r="V65" s="138">
        <f>0</f>
        <v>0</v>
      </c>
      <c r="W65" s="138">
        <f>0</f>
        <v>0</v>
      </c>
      <c r="X65" s="138">
        <f>0</f>
        <v>0</v>
      </c>
      <c r="Y65" s="138">
        <f>0</f>
        <v>0</v>
      </c>
      <c r="Z65" s="138">
        <f>0</f>
        <v>0</v>
      </c>
      <c r="AA65" s="138">
        <f>0</f>
        <v>0</v>
      </c>
      <c r="AB65" s="138">
        <f>0</f>
        <v>0</v>
      </c>
      <c r="AC65" s="138">
        <f>0</f>
        <v>0</v>
      </c>
      <c r="AD65" s="138">
        <f>0</f>
        <v>0</v>
      </c>
      <c r="AE65" s="138">
        <f>0</f>
        <v>0</v>
      </c>
      <c r="AF65" s="138">
        <f>0</f>
        <v>0</v>
      </c>
      <c r="AG65" s="138">
        <f>0</f>
        <v>0</v>
      </c>
      <c r="AH65" s="138">
        <f>0</f>
        <v>0</v>
      </c>
      <c r="AI65" s="138">
        <f>0</f>
        <v>0</v>
      </c>
      <c r="AJ65" s="138">
        <f>0</f>
        <v>0</v>
      </c>
      <c r="AK65" s="138">
        <f>0</f>
        <v>0</v>
      </c>
      <c r="AL65" s="138">
        <f>0</f>
        <v>0</v>
      </c>
      <c r="AM65" s="138">
        <f>0</f>
        <v>0</v>
      </c>
      <c r="AN65" s="138">
        <f>0</f>
        <v>0</v>
      </c>
      <c r="AO65" s="138">
        <f>0</f>
        <v>0</v>
      </c>
    </row>
    <row r="66" spans="1:41" ht="12">
      <c r="A66" s="128">
        <v>30</v>
      </c>
      <c r="B66" s="129" t="s">
        <v>153</v>
      </c>
      <c r="C66" s="130">
        <f>3004105</f>
        <v>3004105</v>
      </c>
      <c r="D66" s="130">
        <f>3048000</f>
        <v>3048000</v>
      </c>
      <c r="E66" s="130">
        <f>2398000</f>
        <v>2398000</v>
      </c>
      <c r="F66" s="130">
        <f>3648000</f>
        <v>3648000</v>
      </c>
      <c r="G66" s="130">
        <f>2798000</f>
        <v>2798000</v>
      </c>
      <c r="H66" s="130">
        <f>1498000</f>
        <v>1498000</v>
      </c>
      <c r="I66" s="130">
        <f>1998000</f>
        <v>1998000</v>
      </c>
      <c r="J66" s="130">
        <f>1998000</f>
        <v>1998000</v>
      </c>
      <c r="K66" s="130">
        <f>1500000</f>
        <v>1500000</v>
      </c>
      <c r="L66" s="130">
        <f>0</f>
        <v>0</v>
      </c>
      <c r="M66" s="130">
        <f>0</f>
        <v>0</v>
      </c>
      <c r="N66" s="130">
        <f>0</f>
        <v>0</v>
      </c>
      <c r="O66" s="130">
        <f>0</f>
        <v>0</v>
      </c>
      <c r="P66" s="130">
        <f>0</f>
        <v>0</v>
      </c>
      <c r="Q66" s="130">
        <f>0</f>
        <v>0</v>
      </c>
      <c r="R66" s="130">
        <f>0</f>
        <v>0</v>
      </c>
      <c r="S66" s="130">
        <f>0</f>
        <v>0</v>
      </c>
      <c r="T66" s="130">
        <f>0</f>
        <v>0</v>
      </c>
      <c r="U66" s="130">
        <f>0</f>
        <v>0</v>
      </c>
      <c r="V66" s="130">
        <f>0</f>
        <v>0</v>
      </c>
      <c r="W66" s="130">
        <f>0</f>
        <v>0</v>
      </c>
      <c r="X66" s="130">
        <f>0</f>
        <v>0</v>
      </c>
      <c r="Y66" s="130">
        <f>0</f>
        <v>0</v>
      </c>
      <c r="Z66" s="130">
        <f>0</f>
        <v>0</v>
      </c>
      <c r="AA66" s="130">
        <f>0</f>
        <v>0</v>
      </c>
      <c r="AB66" s="130">
        <f>0</f>
        <v>0</v>
      </c>
      <c r="AC66" s="130">
        <f>0</f>
        <v>0</v>
      </c>
      <c r="AD66" s="130">
        <f>0</f>
        <v>0</v>
      </c>
      <c r="AE66" s="130">
        <f>0</f>
        <v>0</v>
      </c>
      <c r="AF66" s="130">
        <f>0</f>
        <v>0</v>
      </c>
      <c r="AG66" s="130">
        <f>0</f>
        <v>0</v>
      </c>
      <c r="AH66" s="130">
        <f>0</f>
        <v>0</v>
      </c>
      <c r="AI66" s="130">
        <f>0</f>
        <v>0</v>
      </c>
      <c r="AJ66" s="130">
        <f>0</f>
        <v>0</v>
      </c>
      <c r="AK66" s="130">
        <f>0</f>
        <v>0</v>
      </c>
      <c r="AL66" s="130">
        <f>0</f>
        <v>0</v>
      </c>
      <c r="AM66" s="130">
        <f>0</f>
        <v>0</v>
      </c>
      <c r="AN66" s="130">
        <f>0</f>
        <v>0</v>
      </c>
      <c r="AO66" s="130">
        <f>0</f>
        <v>0</v>
      </c>
    </row>
    <row r="67" spans="1:31" ht="12">
      <c r="A67" s="4"/>
      <c r="B67" s="55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1:31" ht="12">
      <c r="A68" s="4"/>
      <c r="B68" s="46" t="s">
        <v>88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2:31" ht="12">
      <c r="B69" s="46" t="s">
        <v>163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3:31" ht="12"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3:31" ht="12"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3:31" ht="12"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</sheetData>
  <sheetProtection/>
  <printOptions horizontalCentered="1"/>
  <pageMargins left="0.31496062992125984" right="0.31496062992125984" top="0.35433070866141736" bottom="0.3937007874015748" header="0.31496062992125984" footer="0.31496062992125984"/>
  <pageSetup blackAndWhite="1" horizontalDpi="300" verticalDpi="300" orientation="landscape" paperSize="9" scale="85" r:id="rId1"/>
  <headerFooter alignWithMargins="0">
    <oddFooter>&amp;L&amp;"Czcionka tekstu podstawowego,Kursywa"&amp;8Wersja szablonu wydruku: 2011-11-07a&amp;C&amp;8Strona &amp;P z &amp;N&amp;R&amp;"Czcionka tekstu podstawowego,Kursywa"&amp;8Wydruk z dn.: &amp;D - &amp;T</oddFooter>
  </headerFooter>
  <rowBreaks count="1" manualBreakCount="1">
    <brk id="45" min="2" max="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3:AP60"/>
  <sheetViews>
    <sheetView zoomScalePageLayoutView="0" workbookViewId="0" topLeftCell="A40">
      <selection activeCell="B60" sqref="B60"/>
    </sheetView>
  </sheetViews>
  <sheetFormatPr defaultColWidth="8.796875" defaultRowHeight="14.25"/>
  <cols>
    <col min="2" max="2" width="3.8984375" style="0" bestFit="1" customWidth="1"/>
    <col min="3" max="3" width="51.5" style="0" customWidth="1"/>
    <col min="4" max="4" width="19.8984375" style="0" customWidth="1"/>
    <col min="5" max="12" width="16.69921875" style="0" bestFit="1" customWidth="1"/>
  </cols>
  <sheetData>
    <row r="2" ht="15" thickBot="1"/>
    <row r="3" spans="1:42" ht="15" customHeight="1" thickBot="1">
      <c r="A3" s="5"/>
      <c r="B3" s="6" t="s">
        <v>0</v>
      </c>
      <c r="C3" s="50" t="s">
        <v>1</v>
      </c>
      <c r="D3" s="13">
        <v>2012</v>
      </c>
      <c r="E3" s="13">
        <v>2013</v>
      </c>
      <c r="F3" s="13">
        <v>2014</v>
      </c>
      <c r="G3" s="13">
        <v>2015</v>
      </c>
      <c r="H3" s="13">
        <v>2016</v>
      </c>
      <c r="I3" s="13">
        <v>2017</v>
      </c>
      <c r="J3" s="13">
        <v>2018</v>
      </c>
      <c r="K3" s="13">
        <v>2019</v>
      </c>
      <c r="L3" s="14">
        <v>2020</v>
      </c>
      <c r="M3" s="24">
        <v>2021</v>
      </c>
      <c r="N3" s="13">
        <v>2022</v>
      </c>
      <c r="O3" s="13">
        <v>2023</v>
      </c>
      <c r="P3" s="13">
        <v>2024</v>
      </c>
      <c r="Q3" s="13">
        <v>2025</v>
      </c>
      <c r="R3" s="13">
        <v>2026</v>
      </c>
      <c r="S3" s="13">
        <v>2027</v>
      </c>
      <c r="T3" s="13">
        <v>2028</v>
      </c>
      <c r="U3" s="13">
        <v>2029</v>
      </c>
      <c r="V3" s="13">
        <v>2030</v>
      </c>
      <c r="W3" s="13">
        <v>2031</v>
      </c>
      <c r="X3" s="13">
        <v>2032</v>
      </c>
      <c r="Y3" s="13">
        <v>2033</v>
      </c>
      <c r="Z3" s="13">
        <v>2034</v>
      </c>
      <c r="AA3" s="13">
        <v>2035</v>
      </c>
      <c r="AB3" s="13">
        <v>2036</v>
      </c>
      <c r="AC3" s="13">
        <v>2037</v>
      </c>
      <c r="AD3" s="13">
        <v>2038</v>
      </c>
      <c r="AE3" s="13">
        <v>2039</v>
      </c>
      <c r="AF3" s="14" t="s">
        <v>26</v>
      </c>
      <c r="AG3" s="14">
        <v>2041</v>
      </c>
      <c r="AH3" s="14">
        <v>2042</v>
      </c>
      <c r="AI3" s="14">
        <v>2043</v>
      </c>
      <c r="AJ3" s="14">
        <v>2044</v>
      </c>
      <c r="AK3" s="14">
        <v>2045</v>
      </c>
      <c r="AL3" s="14">
        <v>2046</v>
      </c>
      <c r="AM3" s="14">
        <v>2047</v>
      </c>
      <c r="AN3" s="14">
        <v>2048</v>
      </c>
      <c r="AO3" s="14">
        <v>2049</v>
      </c>
      <c r="AP3" s="14">
        <v>2050</v>
      </c>
    </row>
    <row r="4" spans="1:42" ht="14.25" customHeight="1">
      <c r="A4" s="12">
        <v>1</v>
      </c>
      <c r="B4" s="39">
        <v>1</v>
      </c>
      <c r="C4" s="51" t="s">
        <v>93</v>
      </c>
      <c r="D4" s="25" t="str">
        <f aca="true" t="shared" si="0" ref="D4:AF16">+"rokprognozy="&amp;D$3&amp;" i lp="&amp;$A4</f>
        <v>rokprognozy=2012 i lp=1</v>
      </c>
      <c r="E4" s="25" t="str">
        <f t="shared" si="0"/>
        <v>rokprognozy=2013 i lp=1</v>
      </c>
      <c r="F4" s="25" t="str">
        <f t="shared" si="0"/>
        <v>rokprognozy=2014 i lp=1</v>
      </c>
      <c r="G4" s="25" t="str">
        <f t="shared" si="0"/>
        <v>rokprognozy=2015 i lp=1</v>
      </c>
      <c r="H4" s="25" t="str">
        <f t="shared" si="0"/>
        <v>rokprognozy=2016 i lp=1</v>
      </c>
      <c r="I4" s="25" t="str">
        <f t="shared" si="0"/>
        <v>rokprognozy=2017 i lp=1</v>
      </c>
      <c r="J4" s="25" t="str">
        <f t="shared" si="0"/>
        <v>rokprognozy=2018 i lp=1</v>
      </c>
      <c r="K4" s="25" t="str">
        <f t="shared" si="0"/>
        <v>rokprognozy=2019 i lp=1</v>
      </c>
      <c r="L4" s="25" t="str">
        <f t="shared" si="0"/>
        <v>rokprognozy=2020 i lp=1</v>
      </c>
      <c r="M4" s="25" t="str">
        <f t="shared" si="0"/>
        <v>rokprognozy=2021 i lp=1</v>
      </c>
      <c r="N4" s="25" t="str">
        <f t="shared" si="0"/>
        <v>rokprognozy=2022 i lp=1</v>
      </c>
      <c r="O4" s="25" t="str">
        <f t="shared" si="0"/>
        <v>rokprognozy=2023 i lp=1</v>
      </c>
      <c r="P4" s="25" t="str">
        <f t="shared" si="0"/>
        <v>rokprognozy=2024 i lp=1</v>
      </c>
      <c r="Q4" s="25" t="str">
        <f t="shared" si="0"/>
        <v>rokprognozy=2025 i lp=1</v>
      </c>
      <c r="R4" s="25" t="str">
        <f t="shared" si="0"/>
        <v>rokprognozy=2026 i lp=1</v>
      </c>
      <c r="S4" s="25" t="str">
        <f t="shared" si="0"/>
        <v>rokprognozy=2027 i lp=1</v>
      </c>
      <c r="T4" s="25" t="str">
        <f t="shared" si="0"/>
        <v>rokprognozy=2028 i lp=1</v>
      </c>
      <c r="U4" s="25" t="str">
        <f t="shared" si="0"/>
        <v>rokprognozy=2029 i lp=1</v>
      </c>
      <c r="V4" s="25" t="str">
        <f t="shared" si="0"/>
        <v>rokprognozy=2030 i lp=1</v>
      </c>
      <c r="W4" s="25" t="str">
        <f t="shared" si="0"/>
        <v>rokprognozy=2031 i lp=1</v>
      </c>
      <c r="X4" s="25" t="str">
        <f t="shared" si="0"/>
        <v>rokprognozy=2032 i lp=1</v>
      </c>
      <c r="Y4" s="25" t="str">
        <f t="shared" si="0"/>
        <v>rokprognozy=2033 i lp=1</v>
      </c>
      <c r="Z4" s="25" t="str">
        <f t="shared" si="0"/>
        <v>rokprognozy=2034 i lp=1</v>
      </c>
      <c r="AA4" s="25" t="str">
        <f t="shared" si="0"/>
        <v>rokprognozy=2035 i lp=1</v>
      </c>
      <c r="AB4" s="25" t="str">
        <f t="shared" si="0"/>
        <v>rokprognozy=2036 i lp=1</v>
      </c>
      <c r="AC4" s="25" t="str">
        <f t="shared" si="0"/>
        <v>rokprognozy=2037 i lp=1</v>
      </c>
      <c r="AD4" s="25" t="str">
        <f t="shared" si="0"/>
        <v>rokprognozy=2038 i lp=1</v>
      </c>
      <c r="AE4" s="25" t="str">
        <f t="shared" si="0"/>
        <v>rokprognozy=2039 i lp=1</v>
      </c>
      <c r="AF4" s="25" t="str">
        <f t="shared" si="0"/>
        <v>rokprognozy=2040 i lp=1</v>
      </c>
      <c r="AG4" s="25" t="str">
        <f aca="true" t="shared" si="1" ref="AG4:AP15">+"rokprognozy="&amp;AG$3&amp;" i lp="&amp;$A4</f>
        <v>rokprognozy=2041 i lp=1</v>
      </c>
      <c r="AH4" s="25" t="str">
        <f t="shared" si="1"/>
        <v>rokprognozy=2042 i lp=1</v>
      </c>
      <c r="AI4" s="25" t="str">
        <f t="shared" si="1"/>
        <v>rokprognozy=2043 i lp=1</v>
      </c>
      <c r="AJ4" s="25" t="str">
        <f t="shared" si="1"/>
        <v>rokprognozy=2044 i lp=1</v>
      </c>
      <c r="AK4" s="25" t="str">
        <f t="shared" si="1"/>
        <v>rokprognozy=2045 i lp=1</v>
      </c>
      <c r="AL4" s="25" t="str">
        <f t="shared" si="1"/>
        <v>rokprognozy=2046 i lp=1</v>
      </c>
      <c r="AM4" s="25" t="str">
        <f t="shared" si="1"/>
        <v>rokprognozy=2047 i lp=1</v>
      </c>
      <c r="AN4" s="25" t="str">
        <f t="shared" si="1"/>
        <v>rokprognozy=2048 i lp=1</v>
      </c>
      <c r="AO4" s="25" t="str">
        <f t="shared" si="1"/>
        <v>rokprognozy=2049 i lp=1</v>
      </c>
      <c r="AP4" s="25" t="str">
        <f t="shared" si="1"/>
        <v>rokprognozy=2050 i lp=1</v>
      </c>
    </row>
    <row r="5" spans="1:42" ht="14.25" customHeight="1">
      <c r="A5" s="7">
        <v>2</v>
      </c>
      <c r="B5" s="39" t="s">
        <v>94</v>
      </c>
      <c r="C5" s="2" t="s">
        <v>95</v>
      </c>
      <c r="D5" s="25" t="str">
        <f aca="true" t="shared" si="2" ref="D5:L30">+"rokprognozy="&amp;D$3&amp;" i lp="&amp;$A5</f>
        <v>rokprognozy=2012 i lp=2</v>
      </c>
      <c r="E5" s="25" t="str">
        <f t="shared" si="2"/>
        <v>rokprognozy=2013 i lp=2</v>
      </c>
      <c r="F5" s="25" t="str">
        <f t="shared" si="2"/>
        <v>rokprognozy=2014 i lp=2</v>
      </c>
      <c r="G5" s="25" t="str">
        <f t="shared" si="2"/>
        <v>rokprognozy=2015 i lp=2</v>
      </c>
      <c r="H5" s="25" t="str">
        <f t="shared" si="2"/>
        <v>rokprognozy=2016 i lp=2</v>
      </c>
      <c r="I5" s="25" t="str">
        <f t="shared" si="2"/>
        <v>rokprognozy=2017 i lp=2</v>
      </c>
      <c r="J5" s="25" t="str">
        <f t="shared" si="2"/>
        <v>rokprognozy=2018 i lp=2</v>
      </c>
      <c r="K5" s="25" t="str">
        <f t="shared" si="2"/>
        <v>rokprognozy=2019 i lp=2</v>
      </c>
      <c r="L5" s="25" t="str">
        <f t="shared" si="2"/>
        <v>rokprognozy=2020 i lp=2</v>
      </c>
      <c r="M5" s="25" t="str">
        <f t="shared" si="0"/>
        <v>rokprognozy=2021 i lp=2</v>
      </c>
      <c r="N5" s="25" t="str">
        <f t="shared" si="0"/>
        <v>rokprognozy=2022 i lp=2</v>
      </c>
      <c r="O5" s="25" t="str">
        <f t="shared" si="0"/>
        <v>rokprognozy=2023 i lp=2</v>
      </c>
      <c r="P5" s="25" t="str">
        <f t="shared" si="0"/>
        <v>rokprognozy=2024 i lp=2</v>
      </c>
      <c r="Q5" s="25" t="str">
        <f t="shared" si="0"/>
        <v>rokprognozy=2025 i lp=2</v>
      </c>
      <c r="R5" s="25" t="str">
        <f t="shared" si="0"/>
        <v>rokprognozy=2026 i lp=2</v>
      </c>
      <c r="S5" s="25" t="str">
        <f t="shared" si="0"/>
        <v>rokprognozy=2027 i lp=2</v>
      </c>
      <c r="T5" s="25" t="str">
        <f t="shared" si="0"/>
        <v>rokprognozy=2028 i lp=2</v>
      </c>
      <c r="U5" s="25" t="str">
        <f t="shared" si="0"/>
        <v>rokprognozy=2029 i lp=2</v>
      </c>
      <c r="V5" s="25" t="str">
        <f t="shared" si="0"/>
        <v>rokprognozy=2030 i lp=2</v>
      </c>
      <c r="W5" s="25" t="str">
        <f t="shared" si="0"/>
        <v>rokprognozy=2031 i lp=2</v>
      </c>
      <c r="X5" s="25" t="str">
        <f t="shared" si="0"/>
        <v>rokprognozy=2032 i lp=2</v>
      </c>
      <c r="Y5" s="25" t="str">
        <f t="shared" si="0"/>
        <v>rokprognozy=2033 i lp=2</v>
      </c>
      <c r="Z5" s="25" t="str">
        <f t="shared" si="0"/>
        <v>rokprognozy=2034 i lp=2</v>
      </c>
      <c r="AA5" s="25" t="str">
        <f t="shared" si="0"/>
        <v>rokprognozy=2035 i lp=2</v>
      </c>
      <c r="AB5" s="25" t="str">
        <f t="shared" si="0"/>
        <v>rokprognozy=2036 i lp=2</v>
      </c>
      <c r="AC5" s="25" t="str">
        <f t="shared" si="0"/>
        <v>rokprognozy=2037 i lp=2</v>
      </c>
      <c r="AD5" s="25" t="str">
        <f t="shared" si="0"/>
        <v>rokprognozy=2038 i lp=2</v>
      </c>
      <c r="AE5" s="25" t="str">
        <f t="shared" si="0"/>
        <v>rokprognozy=2039 i lp=2</v>
      </c>
      <c r="AF5" s="25" t="str">
        <f t="shared" si="0"/>
        <v>rokprognozy=2040 i lp=2</v>
      </c>
      <c r="AG5" s="25" t="str">
        <f t="shared" si="1"/>
        <v>rokprognozy=2041 i lp=2</v>
      </c>
      <c r="AH5" s="25" t="str">
        <f t="shared" si="1"/>
        <v>rokprognozy=2042 i lp=2</v>
      </c>
      <c r="AI5" s="25" t="str">
        <f t="shared" si="1"/>
        <v>rokprognozy=2043 i lp=2</v>
      </c>
      <c r="AJ5" s="25" t="str">
        <f t="shared" si="1"/>
        <v>rokprognozy=2044 i lp=2</v>
      </c>
      <c r="AK5" s="25" t="str">
        <f t="shared" si="1"/>
        <v>rokprognozy=2045 i lp=2</v>
      </c>
      <c r="AL5" s="25" t="str">
        <f t="shared" si="1"/>
        <v>rokprognozy=2046 i lp=2</v>
      </c>
      <c r="AM5" s="25" t="str">
        <f t="shared" si="1"/>
        <v>rokprognozy=2047 i lp=2</v>
      </c>
      <c r="AN5" s="25" t="str">
        <f t="shared" si="1"/>
        <v>rokprognozy=2048 i lp=2</v>
      </c>
      <c r="AO5" s="25" t="str">
        <f t="shared" si="1"/>
        <v>rokprognozy=2049 i lp=2</v>
      </c>
      <c r="AP5" s="25" t="str">
        <f t="shared" si="1"/>
        <v>rokprognozy=2050 i lp=2</v>
      </c>
    </row>
    <row r="6" spans="1:42" ht="14.25" customHeight="1">
      <c r="A6" s="7">
        <v>3</v>
      </c>
      <c r="B6" s="39" t="s">
        <v>96</v>
      </c>
      <c r="C6" s="2" t="s">
        <v>97</v>
      </c>
      <c r="D6" s="25" t="str">
        <f t="shared" si="2"/>
        <v>rokprognozy=2012 i lp=3</v>
      </c>
      <c r="E6" s="25" t="str">
        <f t="shared" si="2"/>
        <v>rokprognozy=2013 i lp=3</v>
      </c>
      <c r="F6" s="25" t="str">
        <f t="shared" si="2"/>
        <v>rokprognozy=2014 i lp=3</v>
      </c>
      <c r="G6" s="25" t="str">
        <f t="shared" si="2"/>
        <v>rokprognozy=2015 i lp=3</v>
      </c>
      <c r="H6" s="25" t="str">
        <f t="shared" si="2"/>
        <v>rokprognozy=2016 i lp=3</v>
      </c>
      <c r="I6" s="25" t="str">
        <f t="shared" si="2"/>
        <v>rokprognozy=2017 i lp=3</v>
      </c>
      <c r="J6" s="25" t="str">
        <f t="shared" si="2"/>
        <v>rokprognozy=2018 i lp=3</v>
      </c>
      <c r="K6" s="25" t="str">
        <f t="shared" si="2"/>
        <v>rokprognozy=2019 i lp=3</v>
      </c>
      <c r="L6" s="25" t="str">
        <f t="shared" si="2"/>
        <v>rokprognozy=2020 i lp=3</v>
      </c>
      <c r="M6" s="25" t="str">
        <f t="shared" si="0"/>
        <v>rokprognozy=2021 i lp=3</v>
      </c>
      <c r="N6" s="25" t="str">
        <f t="shared" si="0"/>
        <v>rokprognozy=2022 i lp=3</v>
      </c>
      <c r="O6" s="25" t="str">
        <f t="shared" si="0"/>
        <v>rokprognozy=2023 i lp=3</v>
      </c>
      <c r="P6" s="25" t="str">
        <f t="shared" si="0"/>
        <v>rokprognozy=2024 i lp=3</v>
      </c>
      <c r="Q6" s="25" t="str">
        <f t="shared" si="0"/>
        <v>rokprognozy=2025 i lp=3</v>
      </c>
      <c r="R6" s="25" t="str">
        <f t="shared" si="0"/>
        <v>rokprognozy=2026 i lp=3</v>
      </c>
      <c r="S6" s="25" t="str">
        <f t="shared" si="0"/>
        <v>rokprognozy=2027 i lp=3</v>
      </c>
      <c r="T6" s="25" t="str">
        <f t="shared" si="0"/>
        <v>rokprognozy=2028 i lp=3</v>
      </c>
      <c r="U6" s="25" t="str">
        <f t="shared" si="0"/>
        <v>rokprognozy=2029 i lp=3</v>
      </c>
      <c r="V6" s="25" t="str">
        <f t="shared" si="0"/>
        <v>rokprognozy=2030 i lp=3</v>
      </c>
      <c r="W6" s="25" t="str">
        <f t="shared" si="0"/>
        <v>rokprognozy=2031 i lp=3</v>
      </c>
      <c r="X6" s="25" t="str">
        <f t="shared" si="0"/>
        <v>rokprognozy=2032 i lp=3</v>
      </c>
      <c r="Y6" s="25" t="str">
        <f t="shared" si="0"/>
        <v>rokprognozy=2033 i lp=3</v>
      </c>
      <c r="Z6" s="25" t="str">
        <f t="shared" si="0"/>
        <v>rokprognozy=2034 i lp=3</v>
      </c>
      <c r="AA6" s="25" t="str">
        <f t="shared" si="0"/>
        <v>rokprognozy=2035 i lp=3</v>
      </c>
      <c r="AB6" s="25" t="str">
        <f t="shared" si="0"/>
        <v>rokprognozy=2036 i lp=3</v>
      </c>
      <c r="AC6" s="25" t="str">
        <f t="shared" si="0"/>
        <v>rokprognozy=2037 i lp=3</v>
      </c>
      <c r="AD6" s="25" t="str">
        <f t="shared" si="0"/>
        <v>rokprognozy=2038 i lp=3</v>
      </c>
      <c r="AE6" s="25" t="str">
        <f t="shared" si="0"/>
        <v>rokprognozy=2039 i lp=3</v>
      </c>
      <c r="AF6" s="25" t="str">
        <f t="shared" si="0"/>
        <v>rokprognozy=2040 i lp=3</v>
      </c>
      <c r="AG6" s="25" t="str">
        <f t="shared" si="1"/>
        <v>rokprognozy=2041 i lp=3</v>
      </c>
      <c r="AH6" s="25" t="str">
        <f t="shared" si="1"/>
        <v>rokprognozy=2042 i lp=3</v>
      </c>
      <c r="AI6" s="25" t="str">
        <f t="shared" si="1"/>
        <v>rokprognozy=2043 i lp=3</v>
      </c>
      <c r="AJ6" s="25" t="str">
        <f t="shared" si="1"/>
        <v>rokprognozy=2044 i lp=3</v>
      </c>
      <c r="AK6" s="25" t="str">
        <f t="shared" si="1"/>
        <v>rokprognozy=2045 i lp=3</v>
      </c>
      <c r="AL6" s="25" t="str">
        <f t="shared" si="1"/>
        <v>rokprognozy=2046 i lp=3</v>
      </c>
      <c r="AM6" s="25" t="str">
        <f t="shared" si="1"/>
        <v>rokprognozy=2047 i lp=3</v>
      </c>
      <c r="AN6" s="25" t="str">
        <f t="shared" si="1"/>
        <v>rokprognozy=2048 i lp=3</v>
      </c>
      <c r="AO6" s="25" t="str">
        <f t="shared" si="1"/>
        <v>rokprognozy=2049 i lp=3</v>
      </c>
      <c r="AP6" s="25" t="str">
        <f t="shared" si="1"/>
        <v>rokprognozy=2050 i lp=3</v>
      </c>
    </row>
    <row r="7" spans="1:42" ht="14.25">
      <c r="A7" s="7">
        <v>4</v>
      </c>
      <c r="B7" s="39" t="s">
        <v>98</v>
      </c>
      <c r="C7" s="3" t="s">
        <v>99</v>
      </c>
      <c r="D7" s="25" t="str">
        <f t="shared" si="2"/>
        <v>rokprognozy=2012 i lp=4</v>
      </c>
      <c r="E7" s="25" t="str">
        <f t="shared" si="2"/>
        <v>rokprognozy=2013 i lp=4</v>
      </c>
      <c r="F7" s="25" t="str">
        <f t="shared" si="2"/>
        <v>rokprognozy=2014 i lp=4</v>
      </c>
      <c r="G7" s="25" t="str">
        <f t="shared" si="2"/>
        <v>rokprognozy=2015 i lp=4</v>
      </c>
      <c r="H7" s="25" t="str">
        <f t="shared" si="2"/>
        <v>rokprognozy=2016 i lp=4</v>
      </c>
      <c r="I7" s="25" t="str">
        <f t="shared" si="2"/>
        <v>rokprognozy=2017 i lp=4</v>
      </c>
      <c r="J7" s="25" t="str">
        <f t="shared" si="2"/>
        <v>rokprognozy=2018 i lp=4</v>
      </c>
      <c r="K7" s="25" t="str">
        <f t="shared" si="2"/>
        <v>rokprognozy=2019 i lp=4</v>
      </c>
      <c r="L7" s="25" t="str">
        <f t="shared" si="2"/>
        <v>rokprognozy=2020 i lp=4</v>
      </c>
      <c r="M7" s="25" t="str">
        <f t="shared" si="0"/>
        <v>rokprognozy=2021 i lp=4</v>
      </c>
      <c r="N7" s="25" t="str">
        <f t="shared" si="0"/>
        <v>rokprognozy=2022 i lp=4</v>
      </c>
      <c r="O7" s="25" t="str">
        <f t="shared" si="0"/>
        <v>rokprognozy=2023 i lp=4</v>
      </c>
      <c r="P7" s="25" t="str">
        <f t="shared" si="0"/>
        <v>rokprognozy=2024 i lp=4</v>
      </c>
      <c r="Q7" s="25" t="str">
        <f t="shared" si="0"/>
        <v>rokprognozy=2025 i lp=4</v>
      </c>
      <c r="R7" s="25" t="str">
        <f t="shared" si="0"/>
        <v>rokprognozy=2026 i lp=4</v>
      </c>
      <c r="S7" s="25" t="str">
        <f t="shared" si="0"/>
        <v>rokprognozy=2027 i lp=4</v>
      </c>
      <c r="T7" s="25" t="str">
        <f t="shared" si="0"/>
        <v>rokprognozy=2028 i lp=4</v>
      </c>
      <c r="U7" s="25" t="str">
        <f t="shared" si="0"/>
        <v>rokprognozy=2029 i lp=4</v>
      </c>
      <c r="V7" s="25" t="str">
        <f t="shared" si="0"/>
        <v>rokprognozy=2030 i lp=4</v>
      </c>
      <c r="W7" s="25" t="str">
        <f t="shared" si="0"/>
        <v>rokprognozy=2031 i lp=4</v>
      </c>
      <c r="X7" s="25" t="str">
        <f t="shared" si="0"/>
        <v>rokprognozy=2032 i lp=4</v>
      </c>
      <c r="Y7" s="25" t="str">
        <f t="shared" si="0"/>
        <v>rokprognozy=2033 i lp=4</v>
      </c>
      <c r="Z7" s="25" t="str">
        <f t="shared" si="0"/>
        <v>rokprognozy=2034 i lp=4</v>
      </c>
      <c r="AA7" s="25" t="str">
        <f t="shared" si="0"/>
        <v>rokprognozy=2035 i lp=4</v>
      </c>
      <c r="AB7" s="25" t="str">
        <f t="shared" si="0"/>
        <v>rokprognozy=2036 i lp=4</v>
      </c>
      <c r="AC7" s="25" t="str">
        <f t="shared" si="0"/>
        <v>rokprognozy=2037 i lp=4</v>
      </c>
      <c r="AD7" s="25" t="str">
        <f t="shared" si="0"/>
        <v>rokprognozy=2038 i lp=4</v>
      </c>
      <c r="AE7" s="25" t="str">
        <f t="shared" si="0"/>
        <v>rokprognozy=2039 i lp=4</v>
      </c>
      <c r="AF7" s="25" t="str">
        <f t="shared" si="0"/>
        <v>rokprognozy=2040 i lp=4</v>
      </c>
      <c r="AG7" s="25" t="str">
        <f t="shared" si="1"/>
        <v>rokprognozy=2041 i lp=4</v>
      </c>
      <c r="AH7" s="25" t="str">
        <f t="shared" si="1"/>
        <v>rokprognozy=2042 i lp=4</v>
      </c>
      <c r="AI7" s="25" t="str">
        <f t="shared" si="1"/>
        <v>rokprognozy=2043 i lp=4</v>
      </c>
      <c r="AJ7" s="25" t="str">
        <f t="shared" si="1"/>
        <v>rokprognozy=2044 i lp=4</v>
      </c>
      <c r="AK7" s="25" t="str">
        <f t="shared" si="1"/>
        <v>rokprognozy=2045 i lp=4</v>
      </c>
      <c r="AL7" s="25" t="str">
        <f t="shared" si="1"/>
        <v>rokprognozy=2046 i lp=4</v>
      </c>
      <c r="AM7" s="25" t="str">
        <f t="shared" si="1"/>
        <v>rokprognozy=2047 i lp=4</v>
      </c>
      <c r="AN7" s="25" t="str">
        <f t="shared" si="1"/>
        <v>rokprognozy=2048 i lp=4</v>
      </c>
      <c r="AO7" s="25" t="str">
        <f t="shared" si="1"/>
        <v>rokprognozy=2049 i lp=4</v>
      </c>
      <c r="AP7" s="25" t="str">
        <f t="shared" si="1"/>
        <v>rokprognozy=2050 i lp=4</v>
      </c>
    </row>
    <row r="8" spans="1:42" ht="14.25" customHeight="1">
      <c r="A8" s="8">
        <v>5</v>
      </c>
      <c r="B8" s="39" t="s">
        <v>100</v>
      </c>
      <c r="C8" s="48" t="s">
        <v>101</v>
      </c>
      <c r="D8" s="25" t="str">
        <f t="shared" si="2"/>
        <v>rokprognozy=2012 i lp=5</v>
      </c>
      <c r="E8" s="25" t="str">
        <f t="shared" si="2"/>
        <v>rokprognozy=2013 i lp=5</v>
      </c>
      <c r="F8" s="25" t="str">
        <f t="shared" si="2"/>
        <v>rokprognozy=2014 i lp=5</v>
      </c>
      <c r="G8" s="25" t="str">
        <f t="shared" si="2"/>
        <v>rokprognozy=2015 i lp=5</v>
      </c>
      <c r="H8" s="25" t="str">
        <f t="shared" si="2"/>
        <v>rokprognozy=2016 i lp=5</v>
      </c>
      <c r="I8" s="25" t="str">
        <f t="shared" si="2"/>
        <v>rokprognozy=2017 i lp=5</v>
      </c>
      <c r="J8" s="25" t="str">
        <f t="shared" si="2"/>
        <v>rokprognozy=2018 i lp=5</v>
      </c>
      <c r="K8" s="25" t="str">
        <f t="shared" si="2"/>
        <v>rokprognozy=2019 i lp=5</v>
      </c>
      <c r="L8" s="25" t="str">
        <f t="shared" si="2"/>
        <v>rokprognozy=2020 i lp=5</v>
      </c>
      <c r="M8" s="25" t="str">
        <f t="shared" si="0"/>
        <v>rokprognozy=2021 i lp=5</v>
      </c>
      <c r="N8" s="25" t="str">
        <f t="shared" si="0"/>
        <v>rokprognozy=2022 i lp=5</v>
      </c>
      <c r="O8" s="25" t="str">
        <f t="shared" si="0"/>
        <v>rokprognozy=2023 i lp=5</v>
      </c>
      <c r="P8" s="25" t="str">
        <f t="shared" si="0"/>
        <v>rokprognozy=2024 i lp=5</v>
      </c>
      <c r="Q8" s="25" t="str">
        <f t="shared" si="0"/>
        <v>rokprognozy=2025 i lp=5</v>
      </c>
      <c r="R8" s="25" t="str">
        <f t="shared" si="0"/>
        <v>rokprognozy=2026 i lp=5</v>
      </c>
      <c r="S8" s="25" t="str">
        <f t="shared" si="0"/>
        <v>rokprognozy=2027 i lp=5</v>
      </c>
      <c r="T8" s="25" t="str">
        <f t="shared" si="0"/>
        <v>rokprognozy=2028 i lp=5</v>
      </c>
      <c r="U8" s="25" t="str">
        <f t="shared" si="0"/>
        <v>rokprognozy=2029 i lp=5</v>
      </c>
      <c r="V8" s="25" t="str">
        <f t="shared" si="0"/>
        <v>rokprognozy=2030 i lp=5</v>
      </c>
      <c r="W8" s="25" t="str">
        <f t="shared" si="0"/>
        <v>rokprognozy=2031 i lp=5</v>
      </c>
      <c r="X8" s="25" t="str">
        <f t="shared" si="0"/>
        <v>rokprognozy=2032 i lp=5</v>
      </c>
      <c r="Y8" s="25" t="str">
        <f t="shared" si="0"/>
        <v>rokprognozy=2033 i lp=5</v>
      </c>
      <c r="Z8" s="25" t="str">
        <f t="shared" si="0"/>
        <v>rokprognozy=2034 i lp=5</v>
      </c>
      <c r="AA8" s="25" t="str">
        <f t="shared" si="0"/>
        <v>rokprognozy=2035 i lp=5</v>
      </c>
      <c r="AB8" s="25" t="str">
        <f t="shared" si="0"/>
        <v>rokprognozy=2036 i lp=5</v>
      </c>
      <c r="AC8" s="25" t="str">
        <f t="shared" si="0"/>
        <v>rokprognozy=2037 i lp=5</v>
      </c>
      <c r="AD8" s="25" t="str">
        <f t="shared" si="0"/>
        <v>rokprognozy=2038 i lp=5</v>
      </c>
      <c r="AE8" s="25" t="str">
        <f t="shared" si="0"/>
        <v>rokprognozy=2039 i lp=5</v>
      </c>
      <c r="AF8" s="25" t="str">
        <f t="shared" si="0"/>
        <v>rokprognozy=2040 i lp=5</v>
      </c>
      <c r="AG8" s="25" t="str">
        <f t="shared" si="1"/>
        <v>rokprognozy=2041 i lp=5</v>
      </c>
      <c r="AH8" s="25" t="str">
        <f t="shared" si="1"/>
        <v>rokprognozy=2042 i lp=5</v>
      </c>
      <c r="AI8" s="25" t="str">
        <f t="shared" si="1"/>
        <v>rokprognozy=2043 i lp=5</v>
      </c>
      <c r="AJ8" s="25" t="str">
        <f t="shared" si="1"/>
        <v>rokprognozy=2044 i lp=5</v>
      </c>
      <c r="AK8" s="25" t="str">
        <f t="shared" si="1"/>
        <v>rokprognozy=2045 i lp=5</v>
      </c>
      <c r="AL8" s="25" t="str">
        <f t="shared" si="1"/>
        <v>rokprognozy=2046 i lp=5</v>
      </c>
      <c r="AM8" s="25" t="str">
        <f t="shared" si="1"/>
        <v>rokprognozy=2047 i lp=5</v>
      </c>
      <c r="AN8" s="25" t="str">
        <f t="shared" si="1"/>
        <v>rokprognozy=2048 i lp=5</v>
      </c>
      <c r="AO8" s="25" t="str">
        <f t="shared" si="1"/>
        <v>rokprognozy=2049 i lp=5</v>
      </c>
      <c r="AP8" s="25" t="str">
        <f t="shared" si="1"/>
        <v>rokprognozy=2050 i lp=5</v>
      </c>
    </row>
    <row r="9" spans="1:42" ht="14.25" customHeight="1">
      <c r="A9" s="7">
        <v>6</v>
      </c>
      <c r="B9" s="39" t="s">
        <v>102</v>
      </c>
      <c r="C9" s="2" t="s">
        <v>103</v>
      </c>
      <c r="D9" s="25" t="str">
        <f t="shared" si="2"/>
        <v>rokprognozy=2012 i lp=6</v>
      </c>
      <c r="E9" s="25" t="str">
        <f t="shared" si="2"/>
        <v>rokprognozy=2013 i lp=6</v>
      </c>
      <c r="F9" s="25" t="str">
        <f t="shared" si="2"/>
        <v>rokprognozy=2014 i lp=6</v>
      </c>
      <c r="G9" s="25" t="str">
        <f t="shared" si="2"/>
        <v>rokprognozy=2015 i lp=6</v>
      </c>
      <c r="H9" s="25" t="str">
        <f t="shared" si="2"/>
        <v>rokprognozy=2016 i lp=6</v>
      </c>
      <c r="I9" s="25" t="str">
        <f t="shared" si="2"/>
        <v>rokprognozy=2017 i lp=6</v>
      </c>
      <c r="J9" s="25" t="str">
        <f t="shared" si="2"/>
        <v>rokprognozy=2018 i lp=6</v>
      </c>
      <c r="K9" s="25" t="str">
        <f t="shared" si="2"/>
        <v>rokprognozy=2019 i lp=6</v>
      </c>
      <c r="L9" s="25" t="str">
        <f t="shared" si="2"/>
        <v>rokprognozy=2020 i lp=6</v>
      </c>
      <c r="M9" s="25" t="str">
        <f t="shared" si="0"/>
        <v>rokprognozy=2021 i lp=6</v>
      </c>
      <c r="N9" s="25" t="str">
        <f t="shared" si="0"/>
        <v>rokprognozy=2022 i lp=6</v>
      </c>
      <c r="O9" s="25" t="str">
        <f t="shared" si="0"/>
        <v>rokprognozy=2023 i lp=6</v>
      </c>
      <c r="P9" s="25" t="str">
        <f t="shared" si="0"/>
        <v>rokprognozy=2024 i lp=6</v>
      </c>
      <c r="Q9" s="25" t="str">
        <f t="shared" si="0"/>
        <v>rokprognozy=2025 i lp=6</v>
      </c>
      <c r="R9" s="25" t="str">
        <f t="shared" si="0"/>
        <v>rokprognozy=2026 i lp=6</v>
      </c>
      <c r="S9" s="25" t="str">
        <f t="shared" si="0"/>
        <v>rokprognozy=2027 i lp=6</v>
      </c>
      <c r="T9" s="25" t="str">
        <f t="shared" si="0"/>
        <v>rokprognozy=2028 i lp=6</v>
      </c>
      <c r="U9" s="25" t="str">
        <f t="shared" si="0"/>
        <v>rokprognozy=2029 i lp=6</v>
      </c>
      <c r="V9" s="25" t="str">
        <f t="shared" si="0"/>
        <v>rokprognozy=2030 i lp=6</v>
      </c>
      <c r="W9" s="25" t="str">
        <f t="shared" si="0"/>
        <v>rokprognozy=2031 i lp=6</v>
      </c>
      <c r="X9" s="25" t="str">
        <f t="shared" si="0"/>
        <v>rokprognozy=2032 i lp=6</v>
      </c>
      <c r="Y9" s="25" t="str">
        <f t="shared" si="0"/>
        <v>rokprognozy=2033 i lp=6</v>
      </c>
      <c r="Z9" s="25" t="str">
        <f t="shared" si="0"/>
        <v>rokprognozy=2034 i lp=6</v>
      </c>
      <c r="AA9" s="25" t="str">
        <f t="shared" si="0"/>
        <v>rokprognozy=2035 i lp=6</v>
      </c>
      <c r="AB9" s="25" t="str">
        <f t="shared" si="0"/>
        <v>rokprognozy=2036 i lp=6</v>
      </c>
      <c r="AC9" s="25" t="str">
        <f t="shared" si="0"/>
        <v>rokprognozy=2037 i lp=6</v>
      </c>
      <c r="AD9" s="25" t="str">
        <f t="shared" si="0"/>
        <v>rokprognozy=2038 i lp=6</v>
      </c>
      <c r="AE9" s="25" t="str">
        <f t="shared" si="0"/>
        <v>rokprognozy=2039 i lp=6</v>
      </c>
      <c r="AF9" s="25" t="str">
        <f t="shared" si="0"/>
        <v>rokprognozy=2040 i lp=6</v>
      </c>
      <c r="AG9" s="25" t="str">
        <f t="shared" si="1"/>
        <v>rokprognozy=2041 i lp=6</v>
      </c>
      <c r="AH9" s="25" t="str">
        <f t="shared" si="1"/>
        <v>rokprognozy=2042 i lp=6</v>
      </c>
      <c r="AI9" s="25" t="str">
        <f t="shared" si="1"/>
        <v>rokprognozy=2043 i lp=6</v>
      </c>
      <c r="AJ9" s="25" t="str">
        <f t="shared" si="1"/>
        <v>rokprognozy=2044 i lp=6</v>
      </c>
      <c r="AK9" s="25" t="str">
        <f t="shared" si="1"/>
        <v>rokprognozy=2045 i lp=6</v>
      </c>
      <c r="AL9" s="25" t="str">
        <f t="shared" si="1"/>
        <v>rokprognozy=2046 i lp=6</v>
      </c>
      <c r="AM9" s="25" t="str">
        <f t="shared" si="1"/>
        <v>rokprognozy=2047 i lp=6</v>
      </c>
      <c r="AN9" s="25" t="str">
        <f t="shared" si="1"/>
        <v>rokprognozy=2048 i lp=6</v>
      </c>
      <c r="AO9" s="25" t="str">
        <f t="shared" si="1"/>
        <v>rokprognozy=2049 i lp=6</v>
      </c>
      <c r="AP9" s="25" t="str">
        <f t="shared" si="1"/>
        <v>rokprognozy=2050 i lp=6</v>
      </c>
    </row>
    <row r="10" spans="1:42" ht="14.25" customHeight="1">
      <c r="A10" s="7">
        <v>7</v>
      </c>
      <c r="B10" s="39">
        <v>2</v>
      </c>
      <c r="C10" s="2" t="s">
        <v>3</v>
      </c>
      <c r="D10" s="25" t="str">
        <f t="shared" si="2"/>
        <v>rokprognozy=2012 i lp=7</v>
      </c>
      <c r="E10" s="25" t="str">
        <f t="shared" si="2"/>
        <v>rokprognozy=2013 i lp=7</v>
      </c>
      <c r="F10" s="25" t="str">
        <f t="shared" si="2"/>
        <v>rokprognozy=2014 i lp=7</v>
      </c>
      <c r="G10" s="25" t="str">
        <f t="shared" si="2"/>
        <v>rokprognozy=2015 i lp=7</v>
      </c>
      <c r="H10" s="25" t="str">
        <f t="shared" si="2"/>
        <v>rokprognozy=2016 i lp=7</v>
      </c>
      <c r="I10" s="25" t="str">
        <f t="shared" si="2"/>
        <v>rokprognozy=2017 i lp=7</v>
      </c>
      <c r="J10" s="25" t="str">
        <f t="shared" si="2"/>
        <v>rokprognozy=2018 i lp=7</v>
      </c>
      <c r="K10" s="25" t="str">
        <f t="shared" si="2"/>
        <v>rokprognozy=2019 i lp=7</v>
      </c>
      <c r="L10" s="25" t="str">
        <f t="shared" si="2"/>
        <v>rokprognozy=2020 i lp=7</v>
      </c>
      <c r="M10" s="25" t="str">
        <f t="shared" si="0"/>
        <v>rokprognozy=2021 i lp=7</v>
      </c>
      <c r="N10" s="25" t="str">
        <f t="shared" si="0"/>
        <v>rokprognozy=2022 i lp=7</v>
      </c>
      <c r="O10" s="25" t="str">
        <f t="shared" si="0"/>
        <v>rokprognozy=2023 i lp=7</v>
      </c>
      <c r="P10" s="25" t="str">
        <f t="shared" si="0"/>
        <v>rokprognozy=2024 i lp=7</v>
      </c>
      <c r="Q10" s="25" t="str">
        <f t="shared" si="0"/>
        <v>rokprognozy=2025 i lp=7</v>
      </c>
      <c r="R10" s="25" t="str">
        <f t="shared" si="0"/>
        <v>rokprognozy=2026 i lp=7</v>
      </c>
      <c r="S10" s="25" t="str">
        <f t="shared" si="0"/>
        <v>rokprognozy=2027 i lp=7</v>
      </c>
      <c r="T10" s="25" t="str">
        <f t="shared" si="0"/>
        <v>rokprognozy=2028 i lp=7</v>
      </c>
      <c r="U10" s="25" t="str">
        <f t="shared" si="0"/>
        <v>rokprognozy=2029 i lp=7</v>
      </c>
      <c r="V10" s="25" t="str">
        <f t="shared" si="0"/>
        <v>rokprognozy=2030 i lp=7</v>
      </c>
      <c r="W10" s="25" t="str">
        <f t="shared" si="0"/>
        <v>rokprognozy=2031 i lp=7</v>
      </c>
      <c r="X10" s="25" t="str">
        <f t="shared" si="0"/>
        <v>rokprognozy=2032 i lp=7</v>
      </c>
      <c r="Y10" s="25" t="str">
        <f t="shared" si="0"/>
        <v>rokprognozy=2033 i lp=7</v>
      </c>
      <c r="Z10" s="25" t="str">
        <f t="shared" si="0"/>
        <v>rokprognozy=2034 i lp=7</v>
      </c>
      <c r="AA10" s="25" t="str">
        <f t="shared" si="0"/>
        <v>rokprognozy=2035 i lp=7</v>
      </c>
      <c r="AB10" s="25" t="str">
        <f t="shared" si="0"/>
        <v>rokprognozy=2036 i lp=7</v>
      </c>
      <c r="AC10" s="25" t="str">
        <f t="shared" si="0"/>
        <v>rokprognozy=2037 i lp=7</v>
      </c>
      <c r="AD10" s="25" t="str">
        <f t="shared" si="0"/>
        <v>rokprognozy=2038 i lp=7</v>
      </c>
      <c r="AE10" s="25" t="str">
        <f t="shared" si="0"/>
        <v>rokprognozy=2039 i lp=7</v>
      </c>
      <c r="AF10" s="25" t="str">
        <f t="shared" si="0"/>
        <v>rokprognozy=2040 i lp=7</v>
      </c>
      <c r="AG10" s="25" t="str">
        <f t="shared" si="1"/>
        <v>rokprognozy=2041 i lp=7</v>
      </c>
      <c r="AH10" s="25" t="str">
        <f t="shared" si="1"/>
        <v>rokprognozy=2042 i lp=7</v>
      </c>
      <c r="AI10" s="25" t="str">
        <f t="shared" si="1"/>
        <v>rokprognozy=2043 i lp=7</v>
      </c>
      <c r="AJ10" s="25" t="str">
        <f t="shared" si="1"/>
        <v>rokprognozy=2044 i lp=7</v>
      </c>
      <c r="AK10" s="25" t="str">
        <f t="shared" si="1"/>
        <v>rokprognozy=2045 i lp=7</v>
      </c>
      <c r="AL10" s="25" t="str">
        <f t="shared" si="1"/>
        <v>rokprognozy=2046 i lp=7</v>
      </c>
      <c r="AM10" s="25" t="str">
        <f t="shared" si="1"/>
        <v>rokprognozy=2047 i lp=7</v>
      </c>
      <c r="AN10" s="25" t="str">
        <f t="shared" si="1"/>
        <v>rokprognozy=2048 i lp=7</v>
      </c>
      <c r="AO10" s="25" t="str">
        <f t="shared" si="1"/>
        <v>rokprognozy=2049 i lp=7</v>
      </c>
      <c r="AP10" s="25" t="str">
        <f t="shared" si="1"/>
        <v>rokprognozy=2050 i lp=7</v>
      </c>
    </row>
    <row r="11" spans="1:42" ht="14.25" customHeight="1">
      <c r="A11" s="7">
        <v>8</v>
      </c>
      <c r="B11" s="39" t="s">
        <v>104</v>
      </c>
      <c r="C11" s="2" t="s">
        <v>105</v>
      </c>
      <c r="D11" s="25" t="str">
        <f t="shared" si="2"/>
        <v>rokprognozy=2012 i lp=8</v>
      </c>
      <c r="E11" s="25" t="str">
        <f t="shared" si="2"/>
        <v>rokprognozy=2013 i lp=8</v>
      </c>
      <c r="F11" s="25" t="str">
        <f t="shared" si="2"/>
        <v>rokprognozy=2014 i lp=8</v>
      </c>
      <c r="G11" s="25" t="str">
        <f t="shared" si="2"/>
        <v>rokprognozy=2015 i lp=8</v>
      </c>
      <c r="H11" s="25" t="str">
        <f t="shared" si="2"/>
        <v>rokprognozy=2016 i lp=8</v>
      </c>
      <c r="I11" s="25" t="str">
        <f t="shared" si="2"/>
        <v>rokprognozy=2017 i lp=8</v>
      </c>
      <c r="J11" s="25" t="str">
        <f t="shared" si="2"/>
        <v>rokprognozy=2018 i lp=8</v>
      </c>
      <c r="K11" s="25" t="str">
        <f t="shared" si="2"/>
        <v>rokprognozy=2019 i lp=8</v>
      </c>
      <c r="L11" s="25" t="str">
        <f t="shared" si="2"/>
        <v>rokprognozy=2020 i lp=8</v>
      </c>
      <c r="M11" s="25" t="str">
        <f t="shared" si="0"/>
        <v>rokprognozy=2021 i lp=8</v>
      </c>
      <c r="N11" s="25" t="str">
        <f t="shared" si="0"/>
        <v>rokprognozy=2022 i lp=8</v>
      </c>
      <c r="O11" s="25" t="str">
        <f t="shared" si="0"/>
        <v>rokprognozy=2023 i lp=8</v>
      </c>
      <c r="P11" s="25" t="str">
        <f t="shared" si="0"/>
        <v>rokprognozy=2024 i lp=8</v>
      </c>
      <c r="Q11" s="25" t="str">
        <f t="shared" si="0"/>
        <v>rokprognozy=2025 i lp=8</v>
      </c>
      <c r="R11" s="25" t="str">
        <f t="shared" si="0"/>
        <v>rokprognozy=2026 i lp=8</v>
      </c>
      <c r="S11" s="25" t="str">
        <f t="shared" si="0"/>
        <v>rokprognozy=2027 i lp=8</v>
      </c>
      <c r="T11" s="25" t="str">
        <f t="shared" si="0"/>
        <v>rokprognozy=2028 i lp=8</v>
      </c>
      <c r="U11" s="25" t="str">
        <f t="shared" si="0"/>
        <v>rokprognozy=2029 i lp=8</v>
      </c>
      <c r="V11" s="25" t="str">
        <f t="shared" si="0"/>
        <v>rokprognozy=2030 i lp=8</v>
      </c>
      <c r="W11" s="25" t="str">
        <f t="shared" si="0"/>
        <v>rokprognozy=2031 i lp=8</v>
      </c>
      <c r="X11" s="25" t="str">
        <f t="shared" si="0"/>
        <v>rokprognozy=2032 i lp=8</v>
      </c>
      <c r="Y11" s="25" t="str">
        <f t="shared" si="0"/>
        <v>rokprognozy=2033 i lp=8</v>
      </c>
      <c r="Z11" s="25" t="str">
        <f t="shared" si="0"/>
        <v>rokprognozy=2034 i lp=8</v>
      </c>
      <c r="AA11" s="25" t="str">
        <f t="shared" si="0"/>
        <v>rokprognozy=2035 i lp=8</v>
      </c>
      <c r="AB11" s="25" t="str">
        <f t="shared" si="0"/>
        <v>rokprognozy=2036 i lp=8</v>
      </c>
      <c r="AC11" s="25" t="str">
        <f t="shared" si="0"/>
        <v>rokprognozy=2037 i lp=8</v>
      </c>
      <c r="AD11" s="25" t="str">
        <f t="shared" si="0"/>
        <v>rokprognozy=2038 i lp=8</v>
      </c>
      <c r="AE11" s="25" t="str">
        <f t="shared" si="0"/>
        <v>rokprognozy=2039 i lp=8</v>
      </c>
      <c r="AF11" s="25" t="str">
        <f t="shared" si="0"/>
        <v>rokprognozy=2040 i lp=8</v>
      </c>
      <c r="AG11" s="25" t="str">
        <f t="shared" si="1"/>
        <v>rokprognozy=2041 i lp=8</v>
      </c>
      <c r="AH11" s="25" t="str">
        <f t="shared" si="1"/>
        <v>rokprognozy=2042 i lp=8</v>
      </c>
      <c r="AI11" s="25" t="str">
        <f t="shared" si="1"/>
        <v>rokprognozy=2043 i lp=8</v>
      </c>
      <c r="AJ11" s="25" t="str">
        <f t="shared" si="1"/>
        <v>rokprognozy=2044 i lp=8</v>
      </c>
      <c r="AK11" s="25" t="str">
        <f t="shared" si="1"/>
        <v>rokprognozy=2045 i lp=8</v>
      </c>
      <c r="AL11" s="25" t="str">
        <f t="shared" si="1"/>
        <v>rokprognozy=2046 i lp=8</v>
      </c>
      <c r="AM11" s="25" t="str">
        <f t="shared" si="1"/>
        <v>rokprognozy=2047 i lp=8</v>
      </c>
      <c r="AN11" s="25" t="str">
        <f t="shared" si="1"/>
        <v>rokprognozy=2048 i lp=8</v>
      </c>
      <c r="AO11" s="25" t="str">
        <f t="shared" si="1"/>
        <v>rokprognozy=2049 i lp=8</v>
      </c>
      <c r="AP11" s="25" t="str">
        <f t="shared" si="1"/>
        <v>rokprognozy=2050 i lp=8</v>
      </c>
    </row>
    <row r="12" spans="1:42" ht="14.25">
      <c r="A12" s="7">
        <v>9</v>
      </c>
      <c r="B12" s="39" t="s">
        <v>106</v>
      </c>
      <c r="C12" s="2" t="s">
        <v>107</v>
      </c>
      <c r="D12" s="25" t="str">
        <f t="shared" si="2"/>
        <v>rokprognozy=2012 i lp=9</v>
      </c>
      <c r="E12" s="25" t="str">
        <f t="shared" si="2"/>
        <v>rokprognozy=2013 i lp=9</v>
      </c>
      <c r="F12" s="25" t="str">
        <f t="shared" si="2"/>
        <v>rokprognozy=2014 i lp=9</v>
      </c>
      <c r="G12" s="25" t="str">
        <f t="shared" si="2"/>
        <v>rokprognozy=2015 i lp=9</v>
      </c>
      <c r="H12" s="25" t="str">
        <f t="shared" si="2"/>
        <v>rokprognozy=2016 i lp=9</v>
      </c>
      <c r="I12" s="25" t="str">
        <f t="shared" si="2"/>
        <v>rokprognozy=2017 i lp=9</v>
      </c>
      <c r="J12" s="25" t="str">
        <f t="shared" si="2"/>
        <v>rokprognozy=2018 i lp=9</v>
      </c>
      <c r="K12" s="25" t="str">
        <f t="shared" si="2"/>
        <v>rokprognozy=2019 i lp=9</v>
      </c>
      <c r="L12" s="25" t="str">
        <f t="shared" si="2"/>
        <v>rokprognozy=2020 i lp=9</v>
      </c>
      <c r="M12" s="25" t="str">
        <f t="shared" si="0"/>
        <v>rokprognozy=2021 i lp=9</v>
      </c>
      <c r="N12" s="25" t="str">
        <f t="shared" si="0"/>
        <v>rokprognozy=2022 i lp=9</v>
      </c>
      <c r="O12" s="25" t="str">
        <f t="shared" si="0"/>
        <v>rokprognozy=2023 i lp=9</v>
      </c>
      <c r="P12" s="25" t="str">
        <f t="shared" si="0"/>
        <v>rokprognozy=2024 i lp=9</v>
      </c>
      <c r="Q12" s="25" t="str">
        <f t="shared" si="0"/>
        <v>rokprognozy=2025 i lp=9</v>
      </c>
      <c r="R12" s="25" t="str">
        <f t="shared" si="0"/>
        <v>rokprognozy=2026 i lp=9</v>
      </c>
      <c r="S12" s="25" t="str">
        <f t="shared" si="0"/>
        <v>rokprognozy=2027 i lp=9</v>
      </c>
      <c r="T12" s="25" t="str">
        <f t="shared" si="0"/>
        <v>rokprognozy=2028 i lp=9</v>
      </c>
      <c r="U12" s="25" t="str">
        <f t="shared" si="0"/>
        <v>rokprognozy=2029 i lp=9</v>
      </c>
      <c r="V12" s="25" t="str">
        <f t="shared" si="0"/>
        <v>rokprognozy=2030 i lp=9</v>
      </c>
      <c r="W12" s="25" t="str">
        <f t="shared" si="0"/>
        <v>rokprognozy=2031 i lp=9</v>
      </c>
      <c r="X12" s="25" t="str">
        <f t="shared" si="0"/>
        <v>rokprognozy=2032 i lp=9</v>
      </c>
      <c r="Y12" s="25" t="str">
        <f t="shared" si="0"/>
        <v>rokprognozy=2033 i lp=9</v>
      </c>
      <c r="Z12" s="25" t="str">
        <f t="shared" si="0"/>
        <v>rokprognozy=2034 i lp=9</v>
      </c>
      <c r="AA12" s="25" t="str">
        <f t="shared" si="0"/>
        <v>rokprognozy=2035 i lp=9</v>
      </c>
      <c r="AB12" s="25" t="str">
        <f t="shared" si="0"/>
        <v>rokprognozy=2036 i lp=9</v>
      </c>
      <c r="AC12" s="25" t="str">
        <f t="shared" si="0"/>
        <v>rokprognozy=2037 i lp=9</v>
      </c>
      <c r="AD12" s="25" t="str">
        <f t="shared" si="0"/>
        <v>rokprognozy=2038 i lp=9</v>
      </c>
      <c r="AE12" s="25" t="str">
        <f t="shared" si="0"/>
        <v>rokprognozy=2039 i lp=9</v>
      </c>
      <c r="AF12" s="25" t="str">
        <f t="shared" si="0"/>
        <v>rokprognozy=2040 i lp=9</v>
      </c>
      <c r="AG12" s="25" t="str">
        <f t="shared" si="1"/>
        <v>rokprognozy=2041 i lp=9</v>
      </c>
      <c r="AH12" s="25" t="str">
        <f t="shared" si="1"/>
        <v>rokprognozy=2042 i lp=9</v>
      </c>
      <c r="AI12" s="25" t="str">
        <f t="shared" si="1"/>
        <v>rokprognozy=2043 i lp=9</v>
      </c>
      <c r="AJ12" s="25" t="str">
        <f t="shared" si="1"/>
        <v>rokprognozy=2044 i lp=9</v>
      </c>
      <c r="AK12" s="25" t="str">
        <f t="shared" si="1"/>
        <v>rokprognozy=2045 i lp=9</v>
      </c>
      <c r="AL12" s="25" t="str">
        <f t="shared" si="1"/>
        <v>rokprognozy=2046 i lp=9</v>
      </c>
      <c r="AM12" s="25" t="str">
        <f t="shared" si="1"/>
        <v>rokprognozy=2047 i lp=9</v>
      </c>
      <c r="AN12" s="25" t="str">
        <f t="shared" si="1"/>
        <v>rokprognozy=2048 i lp=9</v>
      </c>
      <c r="AO12" s="25" t="str">
        <f t="shared" si="1"/>
        <v>rokprognozy=2049 i lp=9</v>
      </c>
      <c r="AP12" s="25" t="str">
        <f t="shared" si="1"/>
        <v>rokprognozy=2050 i lp=9</v>
      </c>
    </row>
    <row r="13" spans="1:42" ht="14.25" customHeight="1">
      <c r="A13" s="7">
        <v>10</v>
      </c>
      <c r="B13" s="39" t="s">
        <v>108</v>
      </c>
      <c r="C13" s="2" t="s">
        <v>109</v>
      </c>
      <c r="D13" s="25" t="str">
        <f t="shared" si="2"/>
        <v>rokprognozy=2012 i lp=10</v>
      </c>
      <c r="E13" s="25" t="str">
        <f t="shared" si="2"/>
        <v>rokprognozy=2013 i lp=10</v>
      </c>
      <c r="F13" s="25" t="str">
        <f t="shared" si="2"/>
        <v>rokprognozy=2014 i lp=10</v>
      </c>
      <c r="G13" s="25" t="str">
        <f t="shared" si="2"/>
        <v>rokprognozy=2015 i lp=10</v>
      </c>
      <c r="H13" s="25" t="str">
        <f t="shared" si="2"/>
        <v>rokprognozy=2016 i lp=10</v>
      </c>
      <c r="I13" s="25" t="str">
        <f t="shared" si="2"/>
        <v>rokprognozy=2017 i lp=10</v>
      </c>
      <c r="J13" s="25" t="str">
        <f t="shared" si="2"/>
        <v>rokprognozy=2018 i lp=10</v>
      </c>
      <c r="K13" s="25" t="str">
        <f t="shared" si="2"/>
        <v>rokprognozy=2019 i lp=10</v>
      </c>
      <c r="L13" s="25" t="str">
        <f t="shared" si="2"/>
        <v>rokprognozy=2020 i lp=10</v>
      </c>
      <c r="M13" s="25" t="str">
        <f t="shared" si="0"/>
        <v>rokprognozy=2021 i lp=10</v>
      </c>
      <c r="N13" s="25" t="str">
        <f t="shared" si="0"/>
        <v>rokprognozy=2022 i lp=10</v>
      </c>
      <c r="O13" s="25" t="str">
        <f t="shared" si="0"/>
        <v>rokprognozy=2023 i lp=10</v>
      </c>
      <c r="P13" s="25" t="str">
        <f t="shared" si="0"/>
        <v>rokprognozy=2024 i lp=10</v>
      </c>
      <c r="Q13" s="25" t="str">
        <f t="shared" si="0"/>
        <v>rokprognozy=2025 i lp=10</v>
      </c>
      <c r="R13" s="25" t="str">
        <f t="shared" si="0"/>
        <v>rokprognozy=2026 i lp=10</v>
      </c>
      <c r="S13" s="25" t="str">
        <f t="shared" si="0"/>
        <v>rokprognozy=2027 i lp=10</v>
      </c>
      <c r="T13" s="25" t="str">
        <f t="shared" si="0"/>
        <v>rokprognozy=2028 i lp=10</v>
      </c>
      <c r="U13" s="25" t="str">
        <f t="shared" si="0"/>
        <v>rokprognozy=2029 i lp=10</v>
      </c>
      <c r="V13" s="25" t="str">
        <f t="shared" si="0"/>
        <v>rokprognozy=2030 i lp=10</v>
      </c>
      <c r="W13" s="25" t="str">
        <f t="shared" si="0"/>
        <v>rokprognozy=2031 i lp=10</v>
      </c>
      <c r="X13" s="25" t="str">
        <f t="shared" si="0"/>
        <v>rokprognozy=2032 i lp=10</v>
      </c>
      <c r="Y13" s="25" t="str">
        <f t="shared" si="0"/>
        <v>rokprognozy=2033 i lp=10</v>
      </c>
      <c r="Z13" s="25" t="str">
        <f t="shared" si="0"/>
        <v>rokprognozy=2034 i lp=10</v>
      </c>
      <c r="AA13" s="25" t="str">
        <f t="shared" si="0"/>
        <v>rokprognozy=2035 i lp=10</v>
      </c>
      <c r="AB13" s="25" t="str">
        <f t="shared" si="0"/>
        <v>rokprognozy=2036 i lp=10</v>
      </c>
      <c r="AC13" s="25" t="str">
        <f t="shared" si="0"/>
        <v>rokprognozy=2037 i lp=10</v>
      </c>
      <c r="AD13" s="25" t="str">
        <f t="shared" si="0"/>
        <v>rokprognozy=2038 i lp=10</v>
      </c>
      <c r="AE13" s="25" t="str">
        <f t="shared" si="0"/>
        <v>rokprognozy=2039 i lp=10</v>
      </c>
      <c r="AF13" s="25" t="str">
        <f t="shared" si="0"/>
        <v>rokprognozy=2040 i lp=10</v>
      </c>
      <c r="AG13" s="25" t="str">
        <f t="shared" si="1"/>
        <v>rokprognozy=2041 i lp=10</v>
      </c>
      <c r="AH13" s="25" t="str">
        <f t="shared" si="1"/>
        <v>rokprognozy=2042 i lp=10</v>
      </c>
      <c r="AI13" s="25" t="str">
        <f t="shared" si="1"/>
        <v>rokprognozy=2043 i lp=10</v>
      </c>
      <c r="AJ13" s="25" t="str">
        <f t="shared" si="1"/>
        <v>rokprognozy=2044 i lp=10</v>
      </c>
      <c r="AK13" s="25" t="str">
        <f t="shared" si="1"/>
        <v>rokprognozy=2045 i lp=10</v>
      </c>
      <c r="AL13" s="25" t="str">
        <f t="shared" si="1"/>
        <v>rokprognozy=2046 i lp=10</v>
      </c>
      <c r="AM13" s="25" t="str">
        <f t="shared" si="1"/>
        <v>rokprognozy=2047 i lp=10</v>
      </c>
      <c r="AN13" s="25" t="str">
        <f t="shared" si="1"/>
        <v>rokprognozy=2048 i lp=10</v>
      </c>
      <c r="AO13" s="25" t="str">
        <f t="shared" si="1"/>
        <v>rokprognozy=2049 i lp=10</v>
      </c>
      <c r="AP13" s="25" t="str">
        <f t="shared" si="1"/>
        <v>rokprognozy=2050 i lp=10</v>
      </c>
    </row>
    <row r="14" spans="1:42" ht="14.25" customHeight="1">
      <c r="A14" s="9">
        <v>11</v>
      </c>
      <c r="B14" s="39" t="s">
        <v>110</v>
      </c>
      <c r="C14" s="52" t="s">
        <v>111</v>
      </c>
      <c r="D14" s="25" t="str">
        <f t="shared" si="2"/>
        <v>rokprognozy=2012 i lp=11</v>
      </c>
      <c r="E14" s="25" t="str">
        <f t="shared" si="2"/>
        <v>rokprognozy=2013 i lp=11</v>
      </c>
      <c r="F14" s="25" t="str">
        <f t="shared" si="2"/>
        <v>rokprognozy=2014 i lp=11</v>
      </c>
      <c r="G14" s="25" t="str">
        <f t="shared" si="2"/>
        <v>rokprognozy=2015 i lp=11</v>
      </c>
      <c r="H14" s="25" t="str">
        <f t="shared" si="2"/>
        <v>rokprognozy=2016 i lp=11</v>
      </c>
      <c r="I14" s="25" t="str">
        <f t="shared" si="2"/>
        <v>rokprognozy=2017 i lp=11</v>
      </c>
      <c r="J14" s="25" t="str">
        <f t="shared" si="2"/>
        <v>rokprognozy=2018 i lp=11</v>
      </c>
      <c r="K14" s="25" t="str">
        <f t="shared" si="2"/>
        <v>rokprognozy=2019 i lp=11</v>
      </c>
      <c r="L14" s="25" t="str">
        <f t="shared" si="2"/>
        <v>rokprognozy=2020 i lp=11</v>
      </c>
      <c r="M14" s="25" t="str">
        <f t="shared" si="0"/>
        <v>rokprognozy=2021 i lp=11</v>
      </c>
      <c r="N14" s="25" t="str">
        <f t="shared" si="0"/>
        <v>rokprognozy=2022 i lp=11</v>
      </c>
      <c r="O14" s="25" t="str">
        <f t="shared" si="0"/>
        <v>rokprognozy=2023 i lp=11</v>
      </c>
      <c r="P14" s="25" t="str">
        <f t="shared" si="0"/>
        <v>rokprognozy=2024 i lp=11</v>
      </c>
      <c r="Q14" s="25" t="str">
        <f t="shared" si="0"/>
        <v>rokprognozy=2025 i lp=11</v>
      </c>
      <c r="R14" s="25" t="str">
        <f t="shared" si="0"/>
        <v>rokprognozy=2026 i lp=11</v>
      </c>
      <c r="S14" s="25" t="str">
        <f t="shared" si="0"/>
        <v>rokprognozy=2027 i lp=11</v>
      </c>
      <c r="T14" s="25" t="str">
        <f t="shared" si="0"/>
        <v>rokprognozy=2028 i lp=11</v>
      </c>
      <c r="U14" s="25" t="str">
        <f t="shared" si="0"/>
        <v>rokprognozy=2029 i lp=11</v>
      </c>
      <c r="V14" s="25" t="str">
        <f t="shared" si="0"/>
        <v>rokprognozy=2030 i lp=11</v>
      </c>
      <c r="W14" s="25" t="str">
        <f t="shared" si="0"/>
        <v>rokprognozy=2031 i lp=11</v>
      </c>
      <c r="X14" s="25" t="str">
        <f t="shared" si="0"/>
        <v>rokprognozy=2032 i lp=11</v>
      </c>
      <c r="Y14" s="25" t="str">
        <f t="shared" si="0"/>
        <v>rokprognozy=2033 i lp=11</v>
      </c>
      <c r="Z14" s="25" t="str">
        <f t="shared" si="0"/>
        <v>rokprognozy=2034 i lp=11</v>
      </c>
      <c r="AA14" s="25" t="str">
        <f t="shared" si="0"/>
        <v>rokprognozy=2035 i lp=11</v>
      </c>
      <c r="AB14" s="25" t="str">
        <f t="shared" si="0"/>
        <v>rokprognozy=2036 i lp=11</v>
      </c>
      <c r="AC14" s="25" t="str">
        <f t="shared" si="0"/>
        <v>rokprognozy=2037 i lp=11</v>
      </c>
      <c r="AD14" s="25" t="str">
        <f t="shared" si="0"/>
        <v>rokprognozy=2038 i lp=11</v>
      </c>
      <c r="AE14" s="25" t="str">
        <f t="shared" si="0"/>
        <v>rokprognozy=2039 i lp=11</v>
      </c>
      <c r="AF14" s="25" t="str">
        <f t="shared" si="0"/>
        <v>rokprognozy=2040 i lp=11</v>
      </c>
      <c r="AG14" s="25" t="str">
        <f t="shared" si="1"/>
        <v>rokprognozy=2041 i lp=11</v>
      </c>
      <c r="AH14" s="25" t="str">
        <f t="shared" si="1"/>
        <v>rokprognozy=2042 i lp=11</v>
      </c>
      <c r="AI14" s="25" t="str">
        <f t="shared" si="1"/>
        <v>rokprognozy=2043 i lp=11</v>
      </c>
      <c r="AJ14" s="25" t="str">
        <f t="shared" si="1"/>
        <v>rokprognozy=2044 i lp=11</v>
      </c>
      <c r="AK14" s="25" t="str">
        <f t="shared" si="1"/>
        <v>rokprognozy=2045 i lp=11</v>
      </c>
      <c r="AL14" s="25" t="str">
        <f t="shared" si="1"/>
        <v>rokprognozy=2046 i lp=11</v>
      </c>
      <c r="AM14" s="25" t="str">
        <f t="shared" si="1"/>
        <v>rokprognozy=2047 i lp=11</v>
      </c>
      <c r="AN14" s="25" t="str">
        <f t="shared" si="1"/>
        <v>rokprognozy=2048 i lp=11</v>
      </c>
      <c r="AO14" s="25" t="str">
        <f t="shared" si="1"/>
        <v>rokprognozy=2049 i lp=11</v>
      </c>
      <c r="AP14" s="25" t="str">
        <f t="shared" si="1"/>
        <v>rokprognozy=2050 i lp=11</v>
      </c>
    </row>
    <row r="15" spans="1:42" ht="14.25" customHeight="1">
      <c r="A15" s="8">
        <v>12</v>
      </c>
      <c r="B15" s="39" t="s">
        <v>112</v>
      </c>
      <c r="C15" s="48" t="s">
        <v>113</v>
      </c>
      <c r="D15" s="25" t="str">
        <f t="shared" si="2"/>
        <v>rokprognozy=2012 i lp=12</v>
      </c>
      <c r="E15" s="25" t="str">
        <f t="shared" si="2"/>
        <v>rokprognozy=2013 i lp=12</v>
      </c>
      <c r="F15" s="25" t="str">
        <f t="shared" si="2"/>
        <v>rokprognozy=2014 i lp=12</v>
      </c>
      <c r="G15" s="25" t="str">
        <f t="shared" si="2"/>
        <v>rokprognozy=2015 i lp=12</v>
      </c>
      <c r="H15" s="25" t="str">
        <f t="shared" si="2"/>
        <v>rokprognozy=2016 i lp=12</v>
      </c>
      <c r="I15" s="25" t="str">
        <f t="shared" si="2"/>
        <v>rokprognozy=2017 i lp=12</v>
      </c>
      <c r="J15" s="25" t="str">
        <f t="shared" si="2"/>
        <v>rokprognozy=2018 i lp=12</v>
      </c>
      <c r="K15" s="25" t="str">
        <f t="shared" si="2"/>
        <v>rokprognozy=2019 i lp=12</v>
      </c>
      <c r="L15" s="25" t="str">
        <f t="shared" si="2"/>
        <v>rokprognozy=2020 i lp=12</v>
      </c>
      <c r="M15" s="25" t="str">
        <f t="shared" si="0"/>
        <v>rokprognozy=2021 i lp=12</v>
      </c>
      <c r="N15" s="25" t="str">
        <f t="shared" si="0"/>
        <v>rokprognozy=2022 i lp=12</v>
      </c>
      <c r="O15" s="25" t="str">
        <f t="shared" si="0"/>
        <v>rokprognozy=2023 i lp=12</v>
      </c>
      <c r="P15" s="25" t="str">
        <f t="shared" si="0"/>
        <v>rokprognozy=2024 i lp=12</v>
      </c>
      <c r="Q15" s="25" t="str">
        <f t="shared" si="0"/>
        <v>rokprognozy=2025 i lp=12</v>
      </c>
      <c r="R15" s="25" t="str">
        <f t="shared" si="0"/>
        <v>rokprognozy=2026 i lp=12</v>
      </c>
      <c r="S15" s="25" t="str">
        <f t="shared" si="0"/>
        <v>rokprognozy=2027 i lp=12</v>
      </c>
      <c r="T15" s="25" t="str">
        <f t="shared" si="0"/>
        <v>rokprognozy=2028 i lp=12</v>
      </c>
      <c r="U15" s="25" t="str">
        <f t="shared" si="0"/>
        <v>rokprognozy=2029 i lp=12</v>
      </c>
      <c r="V15" s="25" t="str">
        <f t="shared" si="0"/>
        <v>rokprognozy=2030 i lp=12</v>
      </c>
      <c r="W15" s="25" t="str">
        <f t="shared" si="0"/>
        <v>rokprognozy=2031 i lp=12</v>
      </c>
      <c r="X15" s="25" t="str">
        <f t="shared" si="0"/>
        <v>rokprognozy=2032 i lp=12</v>
      </c>
      <c r="Y15" s="25" t="str">
        <f t="shared" si="0"/>
        <v>rokprognozy=2033 i lp=12</v>
      </c>
      <c r="Z15" s="25" t="str">
        <f t="shared" si="0"/>
        <v>rokprognozy=2034 i lp=12</v>
      </c>
      <c r="AA15" s="25" t="str">
        <f t="shared" si="0"/>
        <v>rokprognozy=2035 i lp=12</v>
      </c>
      <c r="AB15" s="25" t="str">
        <f t="shared" si="0"/>
        <v>rokprognozy=2036 i lp=12</v>
      </c>
      <c r="AC15" s="25" t="str">
        <f t="shared" si="0"/>
        <v>rokprognozy=2037 i lp=12</v>
      </c>
      <c r="AD15" s="25" t="str">
        <f t="shared" si="0"/>
        <v>rokprognozy=2038 i lp=12</v>
      </c>
      <c r="AE15" s="25" t="str">
        <f t="shared" si="0"/>
        <v>rokprognozy=2039 i lp=12</v>
      </c>
      <c r="AF15" s="25" t="str">
        <f t="shared" si="0"/>
        <v>rokprognozy=2040 i lp=12</v>
      </c>
      <c r="AG15" s="25" t="str">
        <f t="shared" si="1"/>
        <v>rokprognozy=2041 i lp=12</v>
      </c>
      <c r="AH15" s="25" t="str">
        <f t="shared" si="1"/>
        <v>rokprognozy=2042 i lp=12</v>
      </c>
      <c r="AI15" s="25" t="str">
        <f t="shared" si="1"/>
        <v>rokprognozy=2043 i lp=12</v>
      </c>
      <c r="AJ15" s="25" t="str">
        <f t="shared" si="1"/>
        <v>rokprognozy=2044 i lp=12</v>
      </c>
      <c r="AK15" s="25" t="str">
        <f t="shared" si="1"/>
        <v>rokprognozy=2045 i lp=12</v>
      </c>
      <c r="AL15" s="25" t="str">
        <f t="shared" si="1"/>
        <v>rokprognozy=2046 i lp=12</v>
      </c>
      <c r="AM15" s="25" t="str">
        <f t="shared" si="1"/>
        <v>rokprognozy=2047 i lp=12</v>
      </c>
      <c r="AN15" s="25" t="str">
        <f t="shared" si="1"/>
        <v>rokprognozy=2048 i lp=12</v>
      </c>
      <c r="AO15" s="25" t="str">
        <f t="shared" si="1"/>
        <v>rokprognozy=2049 i lp=12</v>
      </c>
      <c r="AP15" s="25" t="str">
        <f t="shared" si="1"/>
        <v>rokprognozy=2050 i lp=12</v>
      </c>
    </row>
    <row r="16" spans="1:42" ht="14.25" customHeight="1">
      <c r="A16" s="7">
        <v>13</v>
      </c>
      <c r="B16" s="39" t="s">
        <v>114</v>
      </c>
      <c r="C16" s="2" t="s">
        <v>115</v>
      </c>
      <c r="D16" s="25" t="str">
        <f t="shared" si="2"/>
        <v>rokprognozy=2012 i lp=13</v>
      </c>
      <c r="E16" s="25" t="str">
        <f t="shared" si="2"/>
        <v>rokprognozy=2013 i lp=13</v>
      </c>
      <c r="F16" s="25" t="str">
        <f t="shared" si="2"/>
        <v>rokprognozy=2014 i lp=13</v>
      </c>
      <c r="G16" s="25" t="str">
        <f t="shared" si="2"/>
        <v>rokprognozy=2015 i lp=13</v>
      </c>
      <c r="H16" s="25" t="str">
        <f t="shared" si="2"/>
        <v>rokprognozy=2016 i lp=13</v>
      </c>
      <c r="I16" s="25" t="str">
        <f t="shared" si="2"/>
        <v>rokprognozy=2017 i lp=13</v>
      </c>
      <c r="J16" s="25" t="str">
        <f t="shared" si="2"/>
        <v>rokprognozy=2018 i lp=13</v>
      </c>
      <c r="K16" s="25" t="str">
        <f t="shared" si="2"/>
        <v>rokprognozy=2019 i lp=13</v>
      </c>
      <c r="L16" s="25" t="str">
        <f t="shared" si="2"/>
        <v>rokprognozy=2020 i lp=13</v>
      </c>
      <c r="M16" s="25" t="str">
        <f t="shared" si="0"/>
        <v>rokprognozy=2021 i lp=13</v>
      </c>
      <c r="N16" s="25" t="str">
        <f t="shared" si="0"/>
        <v>rokprognozy=2022 i lp=13</v>
      </c>
      <c r="O16" s="25" t="str">
        <f t="shared" si="0"/>
        <v>rokprognozy=2023 i lp=13</v>
      </c>
      <c r="P16" s="25" t="str">
        <f t="shared" si="0"/>
        <v>rokprognozy=2024 i lp=13</v>
      </c>
      <c r="Q16" s="25" t="str">
        <f t="shared" si="0"/>
        <v>rokprognozy=2025 i lp=13</v>
      </c>
      <c r="R16" s="25" t="str">
        <f t="shared" si="0"/>
        <v>rokprognozy=2026 i lp=13</v>
      </c>
      <c r="S16" s="25" t="str">
        <f aca="true" t="shared" si="3" ref="S16:AP16">+"rokprognozy="&amp;S$3&amp;" i lp="&amp;$A16</f>
        <v>rokprognozy=2027 i lp=13</v>
      </c>
      <c r="T16" s="25" t="str">
        <f t="shared" si="3"/>
        <v>rokprognozy=2028 i lp=13</v>
      </c>
      <c r="U16" s="25" t="str">
        <f t="shared" si="3"/>
        <v>rokprognozy=2029 i lp=13</v>
      </c>
      <c r="V16" s="25" t="str">
        <f t="shared" si="3"/>
        <v>rokprognozy=2030 i lp=13</v>
      </c>
      <c r="W16" s="25" t="str">
        <f t="shared" si="3"/>
        <v>rokprognozy=2031 i lp=13</v>
      </c>
      <c r="X16" s="25" t="str">
        <f t="shared" si="3"/>
        <v>rokprognozy=2032 i lp=13</v>
      </c>
      <c r="Y16" s="25" t="str">
        <f t="shared" si="3"/>
        <v>rokprognozy=2033 i lp=13</v>
      </c>
      <c r="Z16" s="25" t="str">
        <f t="shared" si="3"/>
        <v>rokprognozy=2034 i lp=13</v>
      </c>
      <c r="AA16" s="25" t="str">
        <f t="shared" si="3"/>
        <v>rokprognozy=2035 i lp=13</v>
      </c>
      <c r="AB16" s="25" t="str">
        <f t="shared" si="3"/>
        <v>rokprognozy=2036 i lp=13</v>
      </c>
      <c r="AC16" s="25" t="str">
        <f t="shared" si="3"/>
        <v>rokprognozy=2037 i lp=13</v>
      </c>
      <c r="AD16" s="25" t="str">
        <f t="shared" si="3"/>
        <v>rokprognozy=2038 i lp=13</v>
      </c>
      <c r="AE16" s="25" t="str">
        <f t="shared" si="3"/>
        <v>rokprognozy=2039 i lp=13</v>
      </c>
      <c r="AF16" s="25" t="str">
        <f t="shared" si="3"/>
        <v>rokprognozy=2040 i lp=13</v>
      </c>
      <c r="AG16" s="25" t="str">
        <f t="shared" si="3"/>
        <v>rokprognozy=2041 i lp=13</v>
      </c>
      <c r="AH16" s="25" t="str">
        <f t="shared" si="3"/>
        <v>rokprognozy=2042 i lp=13</v>
      </c>
      <c r="AI16" s="25" t="str">
        <f t="shared" si="3"/>
        <v>rokprognozy=2043 i lp=13</v>
      </c>
      <c r="AJ16" s="25" t="str">
        <f t="shared" si="3"/>
        <v>rokprognozy=2044 i lp=13</v>
      </c>
      <c r="AK16" s="25" t="str">
        <f t="shared" si="3"/>
        <v>rokprognozy=2045 i lp=13</v>
      </c>
      <c r="AL16" s="25" t="str">
        <f t="shared" si="3"/>
        <v>rokprognozy=2046 i lp=13</v>
      </c>
      <c r="AM16" s="25" t="str">
        <f t="shared" si="3"/>
        <v>rokprognozy=2047 i lp=13</v>
      </c>
      <c r="AN16" s="25" t="str">
        <f t="shared" si="3"/>
        <v>rokprognozy=2048 i lp=13</v>
      </c>
      <c r="AO16" s="25" t="str">
        <f t="shared" si="3"/>
        <v>rokprognozy=2049 i lp=13</v>
      </c>
      <c r="AP16" s="25" t="str">
        <f t="shared" si="3"/>
        <v>rokprognozy=2050 i lp=13</v>
      </c>
    </row>
    <row r="17" spans="1:42" ht="14.25" customHeight="1">
      <c r="A17" s="8">
        <v>14</v>
      </c>
      <c r="B17" s="39">
        <v>3</v>
      </c>
      <c r="C17" s="48" t="s">
        <v>116</v>
      </c>
      <c r="D17" s="25" t="str">
        <f t="shared" si="2"/>
        <v>rokprognozy=2012 i lp=14</v>
      </c>
      <c r="E17" s="25" t="str">
        <f t="shared" si="2"/>
        <v>rokprognozy=2013 i lp=14</v>
      </c>
      <c r="F17" s="25" t="str">
        <f t="shared" si="2"/>
        <v>rokprognozy=2014 i lp=14</v>
      </c>
      <c r="G17" s="25" t="str">
        <f t="shared" si="2"/>
        <v>rokprognozy=2015 i lp=14</v>
      </c>
      <c r="H17" s="25" t="str">
        <f t="shared" si="2"/>
        <v>rokprognozy=2016 i lp=14</v>
      </c>
      <c r="I17" s="25" t="str">
        <f t="shared" si="2"/>
        <v>rokprognozy=2017 i lp=14</v>
      </c>
      <c r="J17" s="25" t="str">
        <f t="shared" si="2"/>
        <v>rokprognozy=2018 i lp=14</v>
      </c>
      <c r="K17" s="25" t="str">
        <f t="shared" si="2"/>
        <v>rokprognozy=2019 i lp=14</v>
      </c>
      <c r="L17" s="25" t="str">
        <f t="shared" si="2"/>
        <v>rokprognozy=2020 i lp=14</v>
      </c>
      <c r="M17" s="25" t="str">
        <f aca="true" t="shared" si="4" ref="M17:AB32">+"rokprognozy="&amp;M$3&amp;" i lp="&amp;$A17</f>
        <v>rokprognozy=2021 i lp=14</v>
      </c>
      <c r="N17" s="25" t="str">
        <f t="shared" si="4"/>
        <v>rokprognozy=2022 i lp=14</v>
      </c>
      <c r="O17" s="25" t="str">
        <f t="shared" si="4"/>
        <v>rokprognozy=2023 i lp=14</v>
      </c>
      <c r="P17" s="25" t="str">
        <f t="shared" si="4"/>
        <v>rokprognozy=2024 i lp=14</v>
      </c>
      <c r="Q17" s="25" t="str">
        <f t="shared" si="4"/>
        <v>rokprognozy=2025 i lp=14</v>
      </c>
      <c r="R17" s="25" t="str">
        <f t="shared" si="4"/>
        <v>rokprognozy=2026 i lp=14</v>
      </c>
      <c r="S17" s="25" t="str">
        <f t="shared" si="4"/>
        <v>rokprognozy=2027 i lp=14</v>
      </c>
      <c r="T17" s="25" t="str">
        <f t="shared" si="4"/>
        <v>rokprognozy=2028 i lp=14</v>
      </c>
      <c r="U17" s="25" t="str">
        <f t="shared" si="4"/>
        <v>rokprognozy=2029 i lp=14</v>
      </c>
      <c r="V17" s="25" t="str">
        <f t="shared" si="4"/>
        <v>rokprognozy=2030 i lp=14</v>
      </c>
      <c r="W17" s="25" t="str">
        <f t="shared" si="4"/>
        <v>rokprognozy=2031 i lp=14</v>
      </c>
      <c r="X17" s="25" t="str">
        <f t="shared" si="4"/>
        <v>rokprognozy=2032 i lp=14</v>
      </c>
      <c r="Y17" s="25" t="str">
        <f t="shared" si="4"/>
        <v>rokprognozy=2033 i lp=14</v>
      </c>
      <c r="Z17" s="25" t="str">
        <f t="shared" si="4"/>
        <v>rokprognozy=2034 i lp=14</v>
      </c>
      <c r="AA17" s="25" t="str">
        <f t="shared" si="4"/>
        <v>rokprognozy=2035 i lp=14</v>
      </c>
      <c r="AB17" s="25" t="str">
        <f t="shared" si="4"/>
        <v>rokprognozy=2036 i lp=14</v>
      </c>
      <c r="AC17" s="25" t="str">
        <f aca="true" t="shared" si="5" ref="AC17:AP33">+"rokprognozy="&amp;AC$3&amp;" i lp="&amp;$A17</f>
        <v>rokprognozy=2037 i lp=14</v>
      </c>
      <c r="AD17" s="25" t="str">
        <f t="shared" si="5"/>
        <v>rokprognozy=2038 i lp=14</v>
      </c>
      <c r="AE17" s="25" t="str">
        <f t="shared" si="5"/>
        <v>rokprognozy=2039 i lp=14</v>
      </c>
      <c r="AF17" s="25" t="str">
        <f t="shared" si="5"/>
        <v>rokprognozy=2040 i lp=14</v>
      </c>
      <c r="AG17" s="25" t="str">
        <f t="shared" si="5"/>
        <v>rokprognozy=2041 i lp=14</v>
      </c>
      <c r="AH17" s="25" t="str">
        <f t="shared" si="5"/>
        <v>rokprognozy=2042 i lp=14</v>
      </c>
      <c r="AI17" s="25" t="str">
        <f t="shared" si="5"/>
        <v>rokprognozy=2043 i lp=14</v>
      </c>
      <c r="AJ17" s="25" t="str">
        <f t="shared" si="5"/>
        <v>rokprognozy=2044 i lp=14</v>
      </c>
      <c r="AK17" s="25" t="str">
        <f t="shared" si="5"/>
        <v>rokprognozy=2045 i lp=14</v>
      </c>
      <c r="AL17" s="25" t="str">
        <f t="shared" si="5"/>
        <v>rokprognozy=2046 i lp=14</v>
      </c>
      <c r="AM17" s="25" t="str">
        <f t="shared" si="5"/>
        <v>rokprognozy=2047 i lp=14</v>
      </c>
      <c r="AN17" s="25" t="str">
        <f t="shared" si="5"/>
        <v>rokprognozy=2048 i lp=14</v>
      </c>
      <c r="AO17" s="25" t="str">
        <f t="shared" si="5"/>
        <v>rokprognozy=2049 i lp=14</v>
      </c>
      <c r="AP17" s="25" t="str">
        <f t="shared" si="5"/>
        <v>rokprognozy=2050 i lp=14</v>
      </c>
    </row>
    <row r="18" spans="1:42" ht="14.25" customHeight="1">
      <c r="A18" s="9">
        <v>15</v>
      </c>
      <c r="B18" s="39">
        <v>4</v>
      </c>
      <c r="C18" s="47" t="s">
        <v>60</v>
      </c>
      <c r="D18" s="25" t="str">
        <f t="shared" si="2"/>
        <v>rokprognozy=2012 i lp=15</v>
      </c>
      <c r="E18" s="25" t="str">
        <f t="shared" si="2"/>
        <v>rokprognozy=2013 i lp=15</v>
      </c>
      <c r="F18" s="25" t="str">
        <f t="shared" si="2"/>
        <v>rokprognozy=2014 i lp=15</v>
      </c>
      <c r="G18" s="25" t="str">
        <f t="shared" si="2"/>
        <v>rokprognozy=2015 i lp=15</v>
      </c>
      <c r="H18" s="25" t="str">
        <f t="shared" si="2"/>
        <v>rokprognozy=2016 i lp=15</v>
      </c>
      <c r="I18" s="25" t="str">
        <f t="shared" si="2"/>
        <v>rokprognozy=2017 i lp=15</v>
      </c>
      <c r="J18" s="25" t="str">
        <f t="shared" si="2"/>
        <v>rokprognozy=2018 i lp=15</v>
      </c>
      <c r="K18" s="25" t="str">
        <f t="shared" si="2"/>
        <v>rokprognozy=2019 i lp=15</v>
      </c>
      <c r="L18" s="25" t="str">
        <f t="shared" si="2"/>
        <v>rokprognozy=2020 i lp=15</v>
      </c>
      <c r="M18" s="25" t="str">
        <f t="shared" si="4"/>
        <v>rokprognozy=2021 i lp=15</v>
      </c>
      <c r="N18" s="25" t="str">
        <f t="shared" si="4"/>
        <v>rokprognozy=2022 i lp=15</v>
      </c>
      <c r="O18" s="25" t="str">
        <f t="shared" si="4"/>
        <v>rokprognozy=2023 i lp=15</v>
      </c>
      <c r="P18" s="25" t="str">
        <f t="shared" si="4"/>
        <v>rokprognozy=2024 i lp=15</v>
      </c>
      <c r="Q18" s="25" t="str">
        <f t="shared" si="4"/>
        <v>rokprognozy=2025 i lp=15</v>
      </c>
      <c r="R18" s="25" t="str">
        <f t="shared" si="4"/>
        <v>rokprognozy=2026 i lp=15</v>
      </c>
      <c r="S18" s="25" t="str">
        <f t="shared" si="4"/>
        <v>rokprognozy=2027 i lp=15</v>
      </c>
      <c r="T18" s="25" t="str">
        <f t="shared" si="4"/>
        <v>rokprognozy=2028 i lp=15</v>
      </c>
      <c r="U18" s="25" t="str">
        <f t="shared" si="4"/>
        <v>rokprognozy=2029 i lp=15</v>
      </c>
      <c r="V18" s="25" t="str">
        <f t="shared" si="4"/>
        <v>rokprognozy=2030 i lp=15</v>
      </c>
      <c r="W18" s="25" t="str">
        <f t="shared" si="4"/>
        <v>rokprognozy=2031 i lp=15</v>
      </c>
      <c r="X18" s="25" t="str">
        <f t="shared" si="4"/>
        <v>rokprognozy=2032 i lp=15</v>
      </c>
      <c r="Y18" s="25" t="str">
        <f t="shared" si="4"/>
        <v>rokprognozy=2033 i lp=15</v>
      </c>
      <c r="Z18" s="25" t="str">
        <f t="shared" si="4"/>
        <v>rokprognozy=2034 i lp=15</v>
      </c>
      <c r="AA18" s="25" t="str">
        <f t="shared" si="4"/>
        <v>rokprognozy=2035 i lp=15</v>
      </c>
      <c r="AB18" s="25" t="str">
        <f t="shared" si="4"/>
        <v>rokprognozy=2036 i lp=15</v>
      </c>
      <c r="AC18" s="25" t="str">
        <f t="shared" si="5"/>
        <v>rokprognozy=2037 i lp=15</v>
      </c>
      <c r="AD18" s="25" t="str">
        <f t="shared" si="5"/>
        <v>rokprognozy=2038 i lp=15</v>
      </c>
      <c r="AE18" s="25" t="str">
        <f t="shared" si="5"/>
        <v>rokprognozy=2039 i lp=15</v>
      </c>
      <c r="AF18" s="25" t="str">
        <f t="shared" si="5"/>
        <v>rokprognozy=2040 i lp=15</v>
      </c>
      <c r="AG18" s="25" t="str">
        <f t="shared" si="5"/>
        <v>rokprognozy=2041 i lp=15</v>
      </c>
      <c r="AH18" s="25" t="str">
        <f t="shared" si="5"/>
        <v>rokprognozy=2042 i lp=15</v>
      </c>
      <c r="AI18" s="25" t="str">
        <f t="shared" si="5"/>
        <v>rokprognozy=2043 i lp=15</v>
      </c>
      <c r="AJ18" s="25" t="str">
        <f t="shared" si="5"/>
        <v>rokprognozy=2044 i lp=15</v>
      </c>
      <c r="AK18" s="25" t="str">
        <f t="shared" si="5"/>
        <v>rokprognozy=2045 i lp=15</v>
      </c>
      <c r="AL18" s="25" t="str">
        <f t="shared" si="5"/>
        <v>rokprognozy=2046 i lp=15</v>
      </c>
      <c r="AM18" s="25" t="str">
        <f t="shared" si="5"/>
        <v>rokprognozy=2047 i lp=15</v>
      </c>
      <c r="AN18" s="25" t="str">
        <f t="shared" si="5"/>
        <v>rokprognozy=2048 i lp=15</v>
      </c>
      <c r="AO18" s="25" t="str">
        <f t="shared" si="5"/>
        <v>rokprognozy=2049 i lp=15</v>
      </c>
      <c r="AP18" s="25" t="str">
        <f t="shared" si="5"/>
        <v>rokprognozy=2050 i lp=15</v>
      </c>
    </row>
    <row r="19" spans="1:42" ht="14.25" customHeight="1">
      <c r="A19" s="8">
        <v>16</v>
      </c>
      <c r="B19" s="39" t="s">
        <v>117</v>
      </c>
      <c r="C19" s="49" t="s">
        <v>118</v>
      </c>
      <c r="D19" s="25" t="str">
        <f t="shared" si="2"/>
        <v>rokprognozy=2012 i lp=16</v>
      </c>
      <c r="E19" s="25" t="str">
        <f t="shared" si="2"/>
        <v>rokprognozy=2013 i lp=16</v>
      </c>
      <c r="F19" s="25" t="str">
        <f t="shared" si="2"/>
        <v>rokprognozy=2014 i lp=16</v>
      </c>
      <c r="G19" s="25" t="str">
        <f t="shared" si="2"/>
        <v>rokprognozy=2015 i lp=16</v>
      </c>
      <c r="H19" s="25" t="str">
        <f t="shared" si="2"/>
        <v>rokprognozy=2016 i lp=16</v>
      </c>
      <c r="I19" s="25" t="str">
        <f t="shared" si="2"/>
        <v>rokprognozy=2017 i lp=16</v>
      </c>
      <c r="J19" s="25" t="str">
        <f t="shared" si="2"/>
        <v>rokprognozy=2018 i lp=16</v>
      </c>
      <c r="K19" s="25" t="str">
        <f t="shared" si="2"/>
        <v>rokprognozy=2019 i lp=16</v>
      </c>
      <c r="L19" s="25" t="str">
        <f t="shared" si="2"/>
        <v>rokprognozy=2020 i lp=16</v>
      </c>
      <c r="M19" s="25" t="str">
        <f t="shared" si="4"/>
        <v>rokprognozy=2021 i lp=16</v>
      </c>
      <c r="N19" s="25" t="str">
        <f t="shared" si="4"/>
        <v>rokprognozy=2022 i lp=16</v>
      </c>
      <c r="O19" s="25" t="str">
        <f t="shared" si="4"/>
        <v>rokprognozy=2023 i lp=16</v>
      </c>
      <c r="P19" s="25" t="str">
        <f t="shared" si="4"/>
        <v>rokprognozy=2024 i lp=16</v>
      </c>
      <c r="Q19" s="25" t="str">
        <f t="shared" si="4"/>
        <v>rokprognozy=2025 i lp=16</v>
      </c>
      <c r="R19" s="25" t="str">
        <f t="shared" si="4"/>
        <v>rokprognozy=2026 i lp=16</v>
      </c>
      <c r="S19" s="25" t="str">
        <f t="shared" si="4"/>
        <v>rokprognozy=2027 i lp=16</v>
      </c>
      <c r="T19" s="25" t="str">
        <f t="shared" si="4"/>
        <v>rokprognozy=2028 i lp=16</v>
      </c>
      <c r="U19" s="25" t="str">
        <f t="shared" si="4"/>
        <v>rokprognozy=2029 i lp=16</v>
      </c>
      <c r="V19" s="25" t="str">
        <f t="shared" si="4"/>
        <v>rokprognozy=2030 i lp=16</v>
      </c>
      <c r="W19" s="25" t="str">
        <f t="shared" si="4"/>
        <v>rokprognozy=2031 i lp=16</v>
      </c>
      <c r="X19" s="25" t="str">
        <f t="shared" si="4"/>
        <v>rokprognozy=2032 i lp=16</v>
      </c>
      <c r="Y19" s="25" t="str">
        <f t="shared" si="4"/>
        <v>rokprognozy=2033 i lp=16</v>
      </c>
      <c r="Z19" s="25" t="str">
        <f t="shared" si="4"/>
        <v>rokprognozy=2034 i lp=16</v>
      </c>
      <c r="AA19" s="25" t="str">
        <f t="shared" si="4"/>
        <v>rokprognozy=2035 i lp=16</v>
      </c>
      <c r="AB19" s="25" t="str">
        <f t="shared" si="4"/>
        <v>rokprognozy=2036 i lp=16</v>
      </c>
      <c r="AC19" s="25" t="str">
        <f t="shared" si="5"/>
        <v>rokprognozy=2037 i lp=16</v>
      </c>
      <c r="AD19" s="25" t="str">
        <f t="shared" si="5"/>
        <v>rokprognozy=2038 i lp=16</v>
      </c>
      <c r="AE19" s="25" t="str">
        <f t="shared" si="5"/>
        <v>rokprognozy=2039 i lp=16</v>
      </c>
      <c r="AF19" s="25" t="str">
        <f t="shared" si="5"/>
        <v>rokprognozy=2040 i lp=16</v>
      </c>
      <c r="AG19" s="25" t="str">
        <f t="shared" si="5"/>
        <v>rokprognozy=2041 i lp=16</v>
      </c>
      <c r="AH19" s="25" t="str">
        <f t="shared" si="5"/>
        <v>rokprognozy=2042 i lp=16</v>
      </c>
      <c r="AI19" s="25" t="str">
        <f t="shared" si="5"/>
        <v>rokprognozy=2043 i lp=16</v>
      </c>
      <c r="AJ19" s="25" t="str">
        <f t="shared" si="5"/>
        <v>rokprognozy=2044 i lp=16</v>
      </c>
      <c r="AK19" s="25" t="str">
        <f t="shared" si="5"/>
        <v>rokprognozy=2045 i lp=16</v>
      </c>
      <c r="AL19" s="25" t="str">
        <f t="shared" si="5"/>
        <v>rokprognozy=2046 i lp=16</v>
      </c>
      <c r="AM19" s="25" t="str">
        <f t="shared" si="5"/>
        <v>rokprognozy=2047 i lp=16</v>
      </c>
      <c r="AN19" s="25" t="str">
        <f t="shared" si="5"/>
        <v>rokprognozy=2048 i lp=16</v>
      </c>
      <c r="AO19" s="25" t="str">
        <f t="shared" si="5"/>
        <v>rokprognozy=2049 i lp=16</v>
      </c>
      <c r="AP19" s="25" t="str">
        <f t="shared" si="5"/>
        <v>rokprognozy=2050 i lp=16</v>
      </c>
    </row>
    <row r="20" spans="1:42" ht="14.25" customHeight="1">
      <c r="A20" s="7">
        <v>17</v>
      </c>
      <c r="B20" s="39">
        <v>5</v>
      </c>
      <c r="C20" s="15" t="s">
        <v>119</v>
      </c>
      <c r="D20" s="25" t="str">
        <f t="shared" si="2"/>
        <v>rokprognozy=2012 i lp=17</v>
      </c>
      <c r="E20" s="25" t="str">
        <f t="shared" si="2"/>
        <v>rokprognozy=2013 i lp=17</v>
      </c>
      <c r="F20" s="25" t="str">
        <f t="shared" si="2"/>
        <v>rokprognozy=2014 i lp=17</v>
      </c>
      <c r="G20" s="25" t="str">
        <f t="shared" si="2"/>
        <v>rokprognozy=2015 i lp=17</v>
      </c>
      <c r="H20" s="25" t="str">
        <f t="shared" si="2"/>
        <v>rokprognozy=2016 i lp=17</v>
      </c>
      <c r="I20" s="25" t="str">
        <f t="shared" si="2"/>
        <v>rokprognozy=2017 i lp=17</v>
      </c>
      <c r="J20" s="25" t="str">
        <f t="shared" si="2"/>
        <v>rokprognozy=2018 i lp=17</v>
      </c>
      <c r="K20" s="25" t="str">
        <f t="shared" si="2"/>
        <v>rokprognozy=2019 i lp=17</v>
      </c>
      <c r="L20" s="25" t="str">
        <f t="shared" si="2"/>
        <v>rokprognozy=2020 i lp=17</v>
      </c>
      <c r="M20" s="25" t="str">
        <f t="shared" si="4"/>
        <v>rokprognozy=2021 i lp=17</v>
      </c>
      <c r="N20" s="25" t="str">
        <f t="shared" si="4"/>
        <v>rokprognozy=2022 i lp=17</v>
      </c>
      <c r="O20" s="25" t="str">
        <f t="shared" si="4"/>
        <v>rokprognozy=2023 i lp=17</v>
      </c>
      <c r="P20" s="25" t="str">
        <f t="shared" si="4"/>
        <v>rokprognozy=2024 i lp=17</v>
      </c>
      <c r="Q20" s="25" t="str">
        <f t="shared" si="4"/>
        <v>rokprognozy=2025 i lp=17</v>
      </c>
      <c r="R20" s="25" t="str">
        <f t="shared" si="4"/>
        <v>rokprognozy=2026 i lp=17</v>
      </c>
      <c r="S20" s="25" t="str">
        <f t="shared" si="4"/>
        <v>rokprognozy=2027 i lp=17</v>
      </c>
      <c r="T20" s="25" t="str">
        <f t="shared" si="4"/>
        <v>rokprognozy=2028 i lp=17</v>
      </c>
      <c r="U20" s="25" t="str">
        <f t="shared" si="4"/>
        <v>rokprognozy=2029 i lp=17</v>
      </c>
      <c r="V20" s="25" t="str">
        <f t="shared" si="4"/>
        <v>rokprognozy=2030 i lp=17</v>
      </c>
      <c r="W20" s="25" t="str">
        <f t="shared" si="4"/>
        <v>rokprognozy=2031 i lp=17</v>
      </c>
      <c r="X20" s="25" t="str">
        <f t="shared" si="4"/>
        <v>rokprognozy=2032 i lp=17</v>
      </c>
      <c r="Y20" s="25" t="str">
        <f t="shared" si="4"/>
        <v>rokprognozy=2033 i lp=17</v>
      </c>
      <c r="Z20" s="25" t="str">
        <f t="shared" si="4"/>
        <v>rokprognozy=2034 i lp=17</v>
      </c>
      <c r="AA20" s="25" t="str">
        <f t="shared" si="4"/>
        <v>rokprognozy=2035 i lp=17</v>
      </c>
      <c r="AB20" s="25" t="str">
        <f t="shared" si="4"/>
        <v>rokprognozy=2036 i lp=17</v>
      </c>
      <c r="AC20" s="25" t="str">
        <f t="shared" si="5"/>
        <v>rokprognozy=2037 i lp=17</v>
      </c>
      <c r="AD20" s="25" t="str">
        <f t="shared" si="5"/>
        <v>rokprognozy=2038 i lp=17</v>
      </c>
      <c r="AE20" s="25" t="str">
        <f t="shared" si="5"/>
        <v>rokprognozy=2039 i lp=17</v>
      </c>
      <c r="AF20" s="25" t="str">
        <f t="shared" si="5"/>
        <v>rokprognozy=2040 i lp=17</v>
      </c>
      <c r="AG20" s="25" t="str">
        <f t="shared" si="5"/>
        <v>rokprognozy=2041 i lp=17</v>
      </c>
      <c r="AH20" s="25" t="str">
        <f t="shared" si="5"/>
        <v>rokprognozy=2042 i lp=17</v>
      </c>
      <c r="AI20" s="25" t="str">
        <f t="shared" si="5"/>
        <v>rokprognozy=2043 i lp=17</v>
      </c>
      <c r="AJ20" s="25" t="str">
        <f t="shared" si="5"/>
        <v>rokprognozy=2044 i lp=17</v>
      </c>
      <c r="AK20" s="25" t="str">
        <f t="shared" si="5"/>
        <v>rokprognozy=2045 i lp=17</v>
      </c>
      <c r="AL20" s="25" t="str">
        <f t="shared" si="5"/>
        <v>rokprognozy=2046 i lp=17</v>
      </c>
      <c r="AM20" s="25" t="str">
        <f t="shared" si="5"/>
        <v>rokprognozy=2047 i lp=17</v>
      </c>
      <c r="AN20" s="25" t="str">
        <f t="shared" si="5"/>
        <v>rokprognozy=2048 i lp=17</v>
      </c>
      <c r="AO20" s="25" t="str">
        <f t="shared" si="5"/>
        <v>rokprognozy=2049 i lp=17</v>
      </c>
      <c r="AP20" s="25" t="str">
        <f t="shared" si="5"/>
        <v>rokprognozy=2050 i lp=17</v>
      </c>
    </row>
    <row r="21" spans="1:42" ht="14.25" customHeight="1">
      <c r="A21" s="7">
        <v>18</v>
      </c>
      <c r="B21" s="39" t="s">
        <v>120</v>
      </c>
      <c r="C21" s="15" t="s">
        <v>118</v>
      </c>
      <c r="D21" s="25" t="str">
        <f t="shared" si="2"/>
        <v>rokprognozy=2012 i lp=18</v>
      </c>
      <c r="E21" s="25" t="str">
        <f t="shared" si="2"/>
        <v>rokprognozy=2013 i lp=18</v>
      </c>
      <c r="F21" s="25" t="str">
        <f t="shared" si="2"/>
        <v>rokprognozy=2014 i lp=18</v>
      </c>
      <c r="G21" s="25" t="str">
        <f t="shared" si="2"/>
        <v>rokprognozy=2015 i lp=18</v>
      </c>
      <c r="H21" s="25" t="str">
        <f t="shared" si="2"/>
        <v>rokprognozy=2016 i lp=18</v>
      </c>
      <c r="I21" s="25" t="str">
        <f t="shared" si="2"/>
        <v>rokprognozy=2017 i lp=18</v>
      </c>
      <c r="J21" s="25" t="str">
        <f t="shared" si="2"/>
        <v>rokprognozy=2018 i lp=18</v>
      </c>
      <c r="K21" s="25" t="str">
        <f t="shared" si="2"/>
        <v>rokprognozy=2019 i lp=18</v>
      </c>
      <c r="L21" s="25" t="str">
        <f t="shared" si="2"/>
        <v>rokprognozy=2020 i lp=18</v>
      </c>
      <c r="M21" s="25" t="str">
        <f t="shared" si="4"/>
        <v>rokprognozy=2021 i lp=18</v>
      </c>
      <c r="N21" s="25" t="str">
        <f t="shared" si="4"/>
        <v>rokprognozy=2022 i lp=18</v>
      </c>
      <c r="O21" s="25" t="str">
        <f t="shared" si="4"/>
        <v>rokprognozy=2023 i lp=18</v>
      </c>
      <c r="P21" s="25" t="str">
        <f t="shared" si="4"/>
        <v>rokprognozy=2024 i lp=18</v>
      </c>
      <c r="Q21" s="25" t="str">
        <f t="shared" si="4"/>
        <v>rokprognozy=2025 i lp=18</v>
      </c>
      <c r="R21" s="25" t="str">
        <f t="shared" si="4"/>
        <v>rokprognozy=2026 i lp=18</v>
      </c>
      <c r="S21" s="25" t="str">
        <f t="shared" si="4"/>
        <v>rokprognozy=2027 i lp=18</v>
      </c>
      <c r="T21" s="25" t="str">
        <f t="shared" si="4"/>
        <v>rokprognozy=2028 i lp=18</v>
      </c>
      <c r="U21" s="25" t="str">
        <f t="shared" si="4"/>
        <v>rokprognozy=2029 i lp=18</v>
      </c>
      <c r="V21" s="25" t="str">
        <f t="shared" si="4"/>
        <v>rokprognozy=2030 i lp=18</v>
      </c>
      <c r="W21" s="25" t="str">
        <f t="shared" si="4"/>
        <v>rokprognozy=2031 i lp=18</v>
      </c>
      <c r="X21" s="25" t="str">
        <f t="shared" si="4"/>
        <v>rokprognozy=2032 i lp=18</v>
      </c>
      <c r="Y21" s="25" t="str">
        <f t="shared" si="4"/>
        <v>rokprognozy=2033 i lp=18</v>
      </c>
      <c r="Z21" s="25" t="str">
        <f t="shared" si="4"/>
        <v>rokprognozy=2034 i lp=18</v>
      </c>
      <c r="AA21" s="25" t="str">
        <f t="shared" si="4"/>
        <v>rokprognozy=2035 i lp=18</v>
      </c>
      <c r="AB21" s="25" t="str">
        <f t="shared" si="4"/>
        <v>rokprognozy=2036 i lp=18</v>
      </c>
      <c r="AC21" s="25" t="str">
        <f t="shared" si="5"/>
        <v>rokprognozy=2037 i lp=18</v>
      </c>
      <c r="AD21" s="25" t="str">
        <f t="shared" si="5"/>
        <v>rokprognozy=2038 i lp=18</v>
      </c>
      <c r="AE21" s="25" t="str">
        <f t="shared" si="5"/>
        <v>rokprognozy=2039 i lp=18</v>
      </c>
      <c r="AF21" s="25" t="str">
        <f t="shared" si="5"/>
        <v>rokprognozy=2040 i lp=18</v>
      </c>
      <c r="AG21" s="25" t="str">
        <f t="shared" si="5"/>
        <v>rokprognozy=2041 i lp=18</v>
      </c>
      <c r="AH21" s="25" t="str">
        <f t="shared" si="5"/>
        <v>rokprognozy=2042 i lp=18</v>
      </c>
      <c r="AI21" s="25" t="str">
        <f t="shared" si="5"/>
        <v>rokprognozy=2043 i lp=18</v>
      </c>
      <c r="AJ21" s="25" t="str">
        <f t="shared" si="5"/>
        <v>rokprognozy=2044 i lp=18</v>
      </c>
      <c r="AK21" s="25" t="str">
        <f t="shared" si="5"/>
        <v>rokprognozy=2045 i lp=18</v>
      </c>
      <c r="AL21" s="25" t="str">
        <f t="shared" si="5"/>
        <v>rokprognozy=2046 i lp=18</v>
      </c>
      <c r="AM21" s="25" t="str">
        <f t="shared" si="5"/>
        <v>rokprognozy=2047 i lp=18</v>
      </c>
      <c r="AN21" s="25" t="str">
        <f t="shared" si="5"/>
        <v>rokprognozy=2048 i lp=18</v>
      </c>
      <c r="AO21" s="25" t="str">
        <f t="shared" si="5"/>
        <v>rokprognozy=2049 i lp=18</v>
      </c>
      <c r="AP21" s="25" t="str">
        <f t="shared" si="5"/>
        <v>rokprognozy=2050 i lp=18</v>
      </c>
    </row>
    <row r="22" spans="1:42" ht="14.25" customHeight="1">
      <c r="A22" s="8">
        <v>19</v>
      </c>
      <c r="B22" s="39">
        <v>6</v>
      </c>
      <c r="C22" s="48" t="s">
        <v>121</v>
      </c>
      <c r="D22" s="25" t="str">
        <f t="shared" si="2"/>
        <v>rokprognozy=2012 i lp=19</v>
      </c>
      <c r="E22" s="25" t="str">
        <f t="shared" si="2"/>
        <v>rokprognozy=2013 i lp=19</v>
      </c>
      <c r="F22" s="25" t="str">
        <f t="shared" si="2"/>
        <v>rokprognozy=2014 i lp=19</v>
      </c>
      <c r="G22" s="25" t="str">
        <f t="shared" si="2"/>
        <v>rokprognozy=2015 i lp=19</v>
      </c>
      <c r="H22" s="25" t="str">
        <f t="shared" si="2"/>
        <v>rokprognozy=2016 i lp=19</v>
      </c>
      <c r="I22" s="25" t="str">
        <f t="shared" si="2"/>
        <v>rokprognozy=2017 i lp=19</v>
      </c>
      <c r="J22" s="25" t="str">
        <f t="shared" si="2"/>
        <v>rokprognozy=2018 i lp=19</v>
      </c>
      <c r="K22" s="25" t="str">
        <f t="shared" si="2"/>
        <v>rokprognozy=2019 i lp=19</v>
      </c>
      <c r="L22" s="25" t="str">
        <f t="shared" si="2"/>
        <v>rokprognozy=2020 i lp=19</v>
      </c>
      <c r="M22" s="25" t="str">
        <f t="shared" si="4"/>
        <v>rokprognozy=2021 i lp=19</v>
      </c>
      <c r="N22" s="25" t="str">
        <f t="shared" si="4"/>
        <v>rokprognozy=2022 i lp=19</v>
      </c>
      <c r="O22" s="25" t="str">
        <f t="shared" si="4"/>
        <v>rokprognozy=2023 i lp=19</v>
      </c>
      <c r="P22" s="25" t="str">
        <f t="shared" si="4"/>
        <v>rokprognozy=2024 i lp=19</v>
      </c>
      <c r="Q22" s="25" t="str">
        <f t="shared" si="4"/>
        <v>rokprognozy=2025 i lp=19</v>
      </c>
      <c r="R22" s="25" t="str">
        <f t="shared" si="4"/>
        <v>rokprognozy=2026 i lp=19</v>
      </c>
      <c r="S22" s="25" t="str">
        <f t="shared" si="4"/>
        <v>rokprognozy=2027 i lp=19</v>
      </c>
      <c r="T22" s="25" t="str">
        <f t="shared" si="4"/>
        <v>rokprognozy=2028 i lp=19</v>
      </c>
      <c r="U22" s="25" t="str">
        <f t="shared" si="4"/>
        <v>rokprognozy=2029 i lp=19</v>
      </c>
      <c r="V22" s="25" t="str">
        <f t="shared" si="4"/>
        <v>rokprognozy=2030 i lp=19</v>
      </c>
      <c r="W22" s="25" t="str">
        <f t="shared" si="4"/>
        <v>rokprognozy=2031 i lp=19</v>
      </c>
      <c r="X22" s="25" t="str">
        <f t="shared" si="4"/>
        <v>rokprognozy=2032 i lp=19</v>
      </c>
      <c r="Y22" s="25" t="str">
        <f t="shared" si="4"/>
        <v>rokprognozy=2033 i lp=19</v>
      </c>
      <c r="Z22" s="25" t="str">
        <f t="shared" si="4"/>
        <v>rokprognozy=2034 i lp=19</v>
      </c>
      <c r="AA22" s="25" t="str">
        <f t="shared" si="4"/>
        <v>rokprognozy=2035 i lp=19</v>
      </c>
      <c r="AB22" s="25" t="str">
        <f t="shared" si="4"/>
        <v>rokprognozy=2036 i lp=19</v>
      </c>
      <c r="AC22" s="25" t="str">
        <f t="shared" si="5"/>
        <v>rokprognozy=2037 i lp=19</v>
      </c>
      <c r="AD22" s="25" t="str">
        <f t="shared" si="5"/>
        <v>rokprognozy=2038 i lp=19</v>
      </c>
      <c r="AE22" s="25" t="str">
        <f t="shared" si="5"/>
        <v>rokprognozy=2039 i lp=19</v>
      </c>
      <c r="AF22" s="25" t="str">
        <f t="shared" si="5"/>
        <v>rokprognozy=2040 i lp=19</v>
      </c>
      <c r="AG22" s="25" t="str">
        <f t="shared" si="5"/>
        <v>rokprognozy=2041 i lp=19</v>
      </c>
      <c r="AH22" s="25" t="str">
        <f t="shared" si="5"/>
        <v>rokprognozy=2042 i lp=19</v>
      </c>
      <c r="AI22" s="25" t="str">
        <f t="shared" si="5"/>
        <v>rokprognozy=2043 i lp=19</v>
      </c>
      <c r="AJ22" s="25" t="str">
        <f t="shared" si="5"/>
        <v>rokprognozy=2044 i lp=19</v>
      </c>
      <c r="AK22" s="25" t="str">
        <f t="shared" si="5"/>
        <v>rokprognozy=2045 i lp=19</v>
      </c>
      <c r="AL22" s="25" t="str">
        <f t="shared" si="5"/>
        <v>rokprognozy=2046 i lp=19</v>
      </c>
      <c r="AM22" s="25" t="str">
        <f t="shared" si="5"/>
        <v>rokprognozy=2047 i lp=19</v>
      </c>
      <c r="AN22" s="25" t="str">
        <f t="shared" si="5"/>
        <v>rokprognozy=2048 i lp=19</v>
      </c>
      <c r="AO22" s="25" t="str">
        <f t="shared" si="5"/>
        <v>rokprognozy=2049 i lp=19</v>
      </c>
      <c r="AP22" s="25" t="str">
        <f t="shared" si="5"/>
        <v>rokprognozy=2050 i lp=19</v>
      </c>
    </row>
    <row r="23" spans="1:42" ht="14.25" customHeight="1">
      <c r="A23" s="9">
        <v>20</v>
      </c>
      <c r="B23" s="39">
        <v>7</v>
      </c>
      <c r="C23" s="52" t="s">
        <v>12</v>
      </c>
      <c r="D23" s="25" t="str">
        <f t="shared" si="2"/>
        <v>rokprognozy=2012 i lp=20</v>
      </c>
      <c r="E23" s="25" t="str">
        <f t="shared" si="2"/>
        <v>rokprognozy=2013 i lp=20</v>
      </c>
      <c r="F23" s="25" t="str">
        <f t="shared" si="2"/>
        <v>rokprognozy=2014 i lp=20</v>
      </c>
      <c r="G23" s="25" t="str">
        <f t="shared" si="2"/>
        <v>rokprognozy=2015 i lp=20</v>
      </c>
      <c r="H23" s="25" t="str">
        <f t="shared" si="2"/>
        <v>rokprognozy=2016 i lp=20</v>
      </c>
      <c r="I23" s="25" t="str">
        <f t="shared" si="2"/>
        <v>rokprognozy=2017 i lp=20</v>
      </c>
      <c r="J23" s="25" t="str">
        <f t="shared" si="2"/>
        <v>rokprognozy=2018 i lp=20</v>
      </c>
      <c r="K23" s="25" t="str">
        <f t="shared" si="2"/>
        <v>rokprognozy=2019 i lp=20</v>
      </c>
      <c r="L23" s="25" t="str">
        <f t="shared" si="2"/>
        <v>rokprognozy=2020 i lp=20</v>
      </c>
      <c r="M23" s="25" t="str">
        <f t="shared" si="4"/>
        <v>rokprognozy=2021 i lp=20</v>
      </c>
      <c r="N23" s="25" t="str">
        <f t="shared" si="4"/>
        <v>rokprognozy=2022 i lp=20</v>
      </c>
      <c r="O23" s="25" t="str">
        <f t="shared" si="4"/>
        <v>rokprognozy=2023 i lp=20</v>
      </c>
      <c r="P23" s="25" t="str">
        <f t="shared" si="4"/>
        <v>rokprognozy=2024 i lp=20</v>
      </c>
      <c r="Q23" s="25" t="str">
        <f t="shared" si="4"/>
        <v>rokprognozy=2025 i lp=20</v>
      </c>
      <c r="R23" s="25" t="str">
        <f t="shared" si="4"/>
        <v>rokprognozy=2026 i lp=20</v>
      </c>
      <c r="S23" s="25" t="str">
        <f t="shared" si="4"/>
        <v>rokprognozy=2027 i lp=20</v>
      </c>
      <c r="T23" s="25" t="str">
        <f t="shared" si="4"/>
        <v>rokprognozy=2028 i lp=20</v>
      </c>
      <c r="U23" s="25" t="str">
        <f t="shared" si="4"/>
        <v>rokprognozy=2029 i lp=20</v>
      </c>
      <c r="V23" s="25" t="str">
        <f t="shared" si="4"/>
        <v>rokprognozy=2030 i lp=20</v>
      </c>
      <c r="W23" s="25" t="str">
        <f t="shared" si="4"/>
        <v>rokprognozy=2031 i lp=20</v>
      </c>
      <c r="X23" s="25" t="str">
        <f t="shared" si="4"/>
        <v>rokprognozy=2032 i lp=20</v>
      </c>
      <c r="Y23" s="25" t="str">
        <f t="shared" si="4"/>
        <v>rokprognozy=2033 i lp=20</v>
      </c>
      <c r="Z23" s="25" t="str">
        <f t="shared" si="4"/>
        <v>rokprognozy=2034 i lp=20</v>
      </c>
      <c r="AA23" s="25" t="str">
        <f t="shared" si="4"/>
        <v>rokprognozy=2035 i lp=20</v>
      </c>
      <c r="AB23" s="25" t="str">
        <f t="shared" si="4"/>
        <v>rokprognozy=2036 i lp=20</v>
      </c>
      <c r="AC23" s="25" t="str">
        <f t="shared" si="5"/>
        <v>rokprognozy=2037 i lp=20</v>
      </c>
      <c r="AD23" s="25" t="str">
        <f t="shared" si="5"/>
        <v>rokprognozy=2038 i lp=20</v>
      </c>
      <c r="AE23" s="25" t="str">
        <f t="shared" si="5"/>
        <v>rokprognozy=2039 i lp=20</v>
      </c>
      <c r="AF23" s="25" t="str">
        <f t="shared" si="5"/>
        <v>rokprognozy=2040 i lp=20</v>
      </c>
      <c r="AG23" s="25" t="str">
        <f t="shared" si="5"/>
        <v>rokprognozy=2041 i lp=20</v>
      </c>
      <c r="AH23" s="25" t="str">
        <f t="shared" si="5"/>
        <v>rokprognozy=2042 i lp=20</v>
      </c>
      <c r="AI23" s="25" t="str">
        <f t="shared" si="5"/>
        <v>rokprognozy=2043 i lp=20</v>
      </c>
      <c r="AJ23" s="25" t="str">
        <f t="shared" si="5"/>
        <v>rokprognozy=2044 i lp=20</v>
      </c>
      <c r="AK23" s="25" t="str">
        <f t="shared" si="5"/>
        <v>rokprognozy=2045 i lp=20</v>
      </c>
      <c r="AL23" s="25" t="str">
        <f t="shared" si="5"/>
        <v>rokprognozy=2046 i lp=20</v>
      </c>
      <c r="AM23" s="25" t="str">
        <f t="shared" si="5"/>
        <v>rokprognozy=2047 i lp=20</v>
      </c>
      <c r="AN23" s="25" t="str">
        <f t="shared" si="5"/>
        <v>rokprognozy=2048 i lp=20</v>
      </c>
      <c r="AO23" s="25" t="str">
        <f t="shared" si="5"/>
        <v>rokprognozy=2049 i lp=20</v>
      </c>
      <c r="AP23" s="25" t="str">
        <f t="shared" si="5"/>
        <v>rokprognozy=2050 i lp=20</v>
      </c>
    </row>
    <row r="24" spans="1:42" ht="14.25" customHeight="1">
      <c r="A24" s="8">
        <v>21</v>
      </c>
      <c r="B24" s="39" t="s">
        <v>122</v>
      </c>
      <c r="C24" s="48" t="s">
        <v>123</v>
      </c>
      <c r="D24" s="25" t="str">
        <f t="shared" si="2"/>
        <v>rokprognozy=2012 i lp=21</v>
      </c>
      <c r="E24" s="25" t="str">
        <f t="shared" si="2"/>
        <v>rokprognozy=2013 i lp=21</v>
      </c>
      <c r="F24" s="25" t="str">
        <f t="shared" si="2"/>
        <v>rokprognozy=2014 i lp=21</v>
      </c>
      <c r="G24" s="25" t="str">
        <f t="shared" si="2"/>
        <v>rokprognozy=2015 i lp=21</v>
      </c>
      <c r="H24" s="25" t="str">
        <f t="shared" si="2"/>
        <v>rokprognozy=2016 i lp=21</v>
      </c>
      <c r="I24" s="25" t="str">
        <f t="shared" si="2"/>
        <v>rokprognozy=2017 i lp=21</v>
      </c>
      <c r="J24" s="25" t="str">
        <f t="shared" si="2"/>
        <v>rokprognozy=2018 i lp=21</v>
      </c>
      <c r="K24" s="25" t="str">
        <f t="shared" si="2"/>
        <v>rokprognozy=2019 i lp=21</v>
      </c>
      <c r="L24" s="25" t="str">
        <f t="shared" si="2"/>
        <v>rokprognozy=2020 i lp=21</v>
      </c>
      <c r="M24" s="25" t="str">
        <f t="shared" si="4"/>
        <v>rokprognozy=2021 i lp=21</v>
      </c>
      <c r="N24" s="25" t="str">
        <f t="shared" si="4"/>
        <v>rokprognozy=2022 i lp=21</v>
      </c>
      <c r="O24" s="25" t="str">
        <f t="shared" si="4"/>
        <v>rokprognozy=2023 i lp=21</v>
      </c>
      <c r="P24" s="25" t="str">
        <f t="shared" si="4"/>
        <v>rokprognozy=2024 i lp=21</v>
      </c>
      <c r="Q24" s="25" t="str">
        <f t="shared" si="4"/>
        <v>rokprognozy=2025 i lp=21</v>
      </c>
      <c r="R24" s="25" t="str">
        <f t="shared" si="4"/>
        <v>rokprognozy=2026 i lp=21</v>
      </c>
      <c r="S24" s="25" t="str">
        <f t="shared" si="4"/>
        <v>rokprognozy=2027 i lp=21</v>
      </c>
      <c r="T24" s="25" t="str">
        <f t="shared" si="4"/>
        <v>rokprognozy=2028 i lp=21</v>
      </c>
      <c r="U24" s="25" t="str">
        <f t="shared" si="4"/>
        <v>rokprognozy=2029 i lp=21</v>
      </c>
      <c r="V24" s="25" t="str">
        <f t="shared" si="4"/>
        <v>rokprognozy=2030 i lp=21</v>
      </c>
      <c r="W24" s="25" t="str">
        <f t="shared" si="4"/>
        <v>rokprognozy=2031 i lp=21</v>
      </c>
      <c r="X24" s="25" t="str">
        <f t="shared" si="4"/>
        <v>rokprognozy=2032 i lp=21</v>
      </c>
      <c r="Y24" s="25" t="str">
        <f t="shared" si="4"/>
        <v>rokprognozy=2033 i lp=21</v>
      </c>
      <c r="Z24" s="25" t="str">
        <f t="shared" si="4"/>
        <v>rokprognozy=2034 i lp=21</v>
      </c>
      <c r="AA24" s="25" t="str">
        <f t="shared" si="4"/>
        <v>rokprognozy=2035 i lp=21</v>
      </c>
      <c r="AB24" s="25" t="str">
        <f t="shared" si="4"/>
        <v>rokprognozy=2036 i lp=21</v>
      </c>
      <c r="AC24" s="25" t="str">
        <f t="shared" si="5"/>
        <v>rokprognozy=2037 i lp=21</v>
      </c>
      <c r="AD24" s="25" t="str">
        <f t="shared" si="5"/>
        <v>rokprognozy=2038 i lp=21</v>
      </c>
      <c r="AE24" s="25" t="str">
        <f t="shared" si="5"/>
        <v>rokprognozy=2039 i lp=21</v>
      </c>
      <c r="AF24" s="25" t="str">
        <f t="shared" si="5"/>
        <v>rokprognozy=2040 i lp=21</v>
      </c>
      <c r="AG24" s="25" t="str">
        <f t="shared" si="5"/>
        <v>rokprognozy=2041 i lp=21</v>
      </c>
      <c r="AH24" s="25" t="str">
        <f t="shared" si="5"/>
        <v>rokprognozy=2042 i lp=21</v>
      </c>
      <c r="AI24" s="25" t="str">
        <f t="shared" si="5"/>
        <v>rokprognozy=2043 i lp=21</v>
      </c>
      <c r="AJ24" s="25" t="str">
        <f t="shared" si="5"/>
        <v>rokprognozy=2044 i lp=21</v>
      </c>
      <c r="AK24" s="25" t="str">
        <f t="shared" si="5"/>
        <v>rokprognozy=2045 i lp=21</v>
      </c>
      <c r="AL24" s="25" t="str">
        <f t="shared" si="5"/>
        <v>rokprognozy=2046 i lp=21</v>
      </c>
      <c r="AM24" s="25" t="str">
        <f t="shared" si="5"/>
        <v>rokprognozy=2047 i lp=21</v>
      </c>
      <c r="AN24" s="25" t="str">
        <f t="shared" si="5"/>
        <v>rokprognozy=2048 i lp=21</v>
      </c>
      <c r="AO24" s="25" t="str">
        <f t="shared" si="5"/>
        <v>rokprognozy=2049 i lp=21</v>
      </c>
      <c r="AP24" s="25" t="str">
        <f t="shared" si="5"/>
        <v>rokprognozy=2050 i lp=21</v>
      </c>
    </row>
    <row r="25" spans="1:42" ht="14.25" customHeight="1">
      <c r="A25" s="7">
        <v>22</v>
      </c>
      <c r="B25" s="39" t="s">
        <v>124</v>
      </c>
      <c r="C25" s="2" t="s">
        <v>125</v>
      </c>
      <c r="D25" s="25" t="str">
        <f t="shared" si="2"/>
        <v>rokprognozy=2012 i lp=22</v>
      </c>
      <c r="E25" s="25" t="str">
        <f t="shared" si="2"/>
        <v>rokprognozy=2013 i lp=22</v>
      </c>
      <c r="F25" s="25" t="str">
        <f t="shared" si="2"/>
        <v>rokprognozy=2014 i lp=22</v>
      </c>
      <c r="G25" s="25" t="str">
        <f t="shared" si="2"/>
        <v>rokprognozy=2015 i lp=22</v>
      </c>
      <c r="H25" s="25" t="str">
        <f t="shared" si="2"/>
        <v>rokprognozy=2016 i lp=22</v>
      </c>
      <c r="I25" s="25" t="str">
        <f t="shared" si="2"/>
        <v>rokprognozy=2017 i lp=22</v>
      </c>
      <c r="J25" s="25" t="str">
        <f t="shared" si="2"/>
        <v>rokprognozy=2018 i lp=22</v>
      </c>
      <c r="K25" s="25" t="str">
        <f t="shared" si="2"/>
        <v>rokprognozy=2019 i lp=22</v>
      </c>
      <c r="L25" s="25" t="str">
        <f t="shared" si="2"/>
        <v>rokprognozy=2020 i lp=22</v>
      </c>
      <c r="M25" s="25" t="str">
        <f t="shared" si="4"/>
        <v>rokprognozy=2021 i lp=22</v>
      </c>
      <c r="N25" s="25" t="str">
        <f t="shared" si="4"/>
        <v>rokprognozy=2022 i lp=22</v>
      </c>
      <c r="O25" s="25" t="str">
        <f t="shared" si="4"/>
        <v>rokprognozy=2023 i lp=22</v>
      </c>
      <c r="P25" s="25" t="str">
        <f t="shared" si="4"/>
        <v>rokprognozy=2024 i lp=22</v>
      </c>
      <c r="Q25" s="25" t="str">
        <f t="shared" si="4"/>
        <v>rokprognozy=2025 i lp=22</v>
      </c>
      <c r="R25" s="25" t="str">
        <f t="shared" si="4"/>
        <v>rokprognozy=2026 i lp=22</v>
      </c>
      <c r="S25" s="25" t="str">
        <f t="shared" si="4"/>
        <v>rokprognozy=2027 i lp=22</v>
      </c>
      <c r="T25" s="25" t="str">
        <f t="shared" si="4"/>
        <v>rokprognozy=2028 i lp=22</v>
      </c>
      <c r="U25" s="25" t="str">
        <f t="shared" si="4"/>
        <v>rokprognozy=2029 i lp=22</v>
      </c>
      <c r="V25" s="25" t="str">
        <f t="shared" si="4"/>
        <v>rokprognozy=2030 i lp=22</v>
      </c>
      <c r="W25" s="25" t="str">
        <f t="shared" si="4"/>
        <v>rokprognozy=2031 i lp=22</v>
      </c>
      <c r="X25" s="25" t="str">
        <f t="shared" si="4"/>
        <v>rokprognozy=2032 i lp=22</v>
      </c>
      <c r="Y25" s="25" t="str">
        <f t="shared" si="4"/>
        <v>rokprognozy=2033 i lp=22</v>
      </c>
      <c r="Z25" s="25" t="str">
        <f t="shared" si="4"/>
        <v>rokprognozy=2034 i lp=22</v>
      </c>
      <c r="AA25" s="25" t="str">
        <f t="shared" si="4"/>
        <v>rokprognozy=2035 i lp=22</v>
      </c>
      <c r="AB25" s="25" t="str">
        <f t="shared" si="4"/>
        <v>rokprognozy=2036 i lp=22</v>
      </c>
      <c r="AC25" s="25" t="str">
        <f t="shared" si="5"/>
        <v>rokprognozy=2037 i lp=22</v>
      </c>
      <c r="AD25" s="25" t="str">
        <f t="shared" si="5"/>
        <v>rokprognozy=2038 i lp=22</v>
      </c>
      <c r="AE25" s="25" t="str">
        <f t="shared" si="5"/>
        <v>rokprognozy=2039 i lp=22</v>
      </c>
      <c r="AF25" s="25" t="str">
        <f t="shared" si="5"/>
        <v>rokprognozy=2040 i lp=22</v>
      </c>
      <c r="AG25" s="25" t="str">
        <f t="shared" si="5"/>
        <v>rokprognozy=2041 i lp=22</v>
      </c>
      <c r="AH25" s="25" t="str">
        <f t="shared" si="5"/>
        <v>rokprognozy=2042 i lp=22</v>
      </c>
      <c r="AI25" s="25" t="str">
        <f t="shared" si="5"/>
        <v>rokprognozy=2043 i lp=22</v>
      </c>
      <c r="AJ25" s="25" t="str">
        <f t="shared" si="5"/>
        <v>rokprognozy=2044 i lp=22</v>
      </c>
      <c r="AK25" s="25" t="str">
        <f t="shared" si="5"/>
        <v>rokprognozy=2045 i lp=22</v>
      </c>
      <c r="AL25" s="25" t="str">
        <f t="shared" si="5"/>
        <v>rokprognozy=2046 i lp=22</v>
      </c>
      <c r="AM25" s="25" t="str">
        <f t="shared" si="5"/>
        <v>rokprognozy=2047 i lp=22</v>
      </c>
      <c r="AN25" s="25" t="str">
        <f t="shared" si="5"/>
        <v>rokprognozy=2048 i lp=22</v>
      </c>
      <c r="AO25" s="25" t="str">
        <f t="shared" si="5"/>
        <v>rokprognozy=2049 i lp=22</v>
      </c>
      <c r="AP25" s="25" t="str">
        <f t="shared" si="5"/>
        <v>rokprognozy=2050 i lp=22</v>
      </c>
    </row>
    <row r="26" spans="1:42" ht="14.25" customHeight="1">
      <c r="A26" s="8">
        <v>23</v>
      </c>
      <c r="B26" s="39" t="s">
        <v>126</v>
      </c>
      <c r="C26" s="48" t="s">
        <v>127</v>
      </c>
      <c r="D26" s="25" t="str">
        <f t="shared" si="2"/>
        <v>rokprognozy=2012 i lp=23</v>
      </c>
      <c r="E26" s="25" t="str">
        <f t="shared" si="2"/>
        <v>rokprognozy=2013 i lp=23</v>
      </c>
      <c r="F26" s="25" t="str">
        <f t="shared" si="2"/>
        <v>rokprognozy=2014 i lp=23</v>
      </c>
      <c r="G26" s="25" t="str">
        <f t="shared" si="2"/>
        <v>rokprognozy=2015 i lp=23</v>
      </c>
      <c r="H26" s="25" t="str">
        <f t="shared" si="2"/>
        <v>rokprognozy=2016 i lp=23</v>
      </c>
      <c r="I26" s="25" t="str">
        <f t="shared" si="2"/>
        <v>rokprognozy=2017 i lp=23</v>
      </c>
      <c r="J26" s="25" t="str">
        <f t="shared" si="2"/>
        <v>rokprognozy=2018 i lp=23</v>
      </c>
      <c r="K26" s="25" t="str">
        <f t="shared" si="2"/>
        <v>rokprognozy=2019 i lp=23</v>
      </c>
      <c r="L26" s="25" t="str">
        <f t="shared" si="2"/>
        <v>rokprognozy=2020 i lp=23</v>
      </c>
      <c r="M26" s="25" t="str">
        <f t="shared" si="4"/>
        <v>rokprognozy=2021 i lp=23</v>
      </c>
      <c r="N26" s="25" t="str">
        <f t="shared" si="4"/>
        <v>rokprognozy=2022 i lp=23</v>
      </c>
      <c r="O26" s="25" t="str">
        <f t="shared" si="4"/>
        <v>rokprognozy=2023 i lp=23</v>
      </c>
      <c r="P26" s="25" t="str">
        <f t="shared" si="4"/>
        <v>rokprognozy=2024 i lp=23</v>
      </c>
      <c r="Q26" s="25" t="str">
        <f t="shared" si="4"/>
        <v>rokprognozy=2025 i lp=23</v>
      </c>
      <c r="R26" s="25" t="str">
        <f t="shared" si="4"/>
        <v>rokprognozy=2026 i lp=23</v>
      </c>
      <c r="S26" s="25" t="str">
        <f t="shared" si="4"/>
        <v>rokprognozy=2027 i lp=23</v>
      </c>
      <c r="T26" s="25" t="str">
        <f t="shared" si="4"/>
        <v>rokprognozy=2028 i lp=23</v>
      </c>
      <c r="U26" s="25" t="str">
        <f t="shared" si="4"/>
        <v>rokprognozy=2029 i lp=23</v>
      </c>
      <c r="V26" s="25" t="str">
        <f t="shared" si="4"/>
        <v>rokprognozy=2030 i lp=23</v>
      </c>
      <c r="W26" s="25" t="str">
        <f t="shared" si="4"/>
        <v>rokprognozy=2031 i lp=23</v>
      </c>
      <c r="X26" s="25" t="str">
        <f t="shared" si="4"/>
        <v>rokprognozy=2032 i lp=23</v>
      </c>
      <c r="Y26" s="25" t="str">
        <f t="shared" si="4"/>
        <v>rokprognozy=2033 i lp=23</v>
      </c>
      <c r="Z26" s="25" t="str">
        <f t="shared" si="4"/>
        <v>rokprognozy=2034 i lp=23</v>
      </c>
      <c r="AA26" s="25" t="str">
        <f t="shared" si="4"/>
        <v>rokprognozy=2035 i lp=23</v>
      </c>
      <c r="AB26" s="25" t="str">
        <f t="shared" si="4"/>
        <v>rokprognozy=2036 i lp=23</v>
      </c>
      <c r="AC26" s="25" t="str">
        <f t="shared" si="5"/>
        <v>rokprognozy=2037 i lp=23</v>
      </c>
      <c r="AD26" s="25" t="str">
        <f t="shared" si="5"/>
        <v>rokprognozy=2038 i lp=23</v>
      </c>
      <c r="AE26" s="25" t="str">
        <f t="shared" si="5"/>
        <v>rokprognozy=2039 i lp=23</v>
      </c>
      <c r="AF26" s="25" t="str">
        <f t="shared" si="5"/>
        <v>rokprognozy=2040 i lp=23</v>
      </c>
      <c r="AG26" s="25" t="str">
        <f t="shared" si="5"/>
        <v>rokprognozy=2041 i lp=23</v>
      </c>
      <c r="AH26" s="25" t="str">
        <f t="shared" si="5"/>
        <v>rokprognozy=2042 i lp=23</v>
      </c>
      <c r="AI26" s="25" t="str">
        <f t="shared" si="5"/>
        <v>rokprognozy=2043 i lp=23</v>
      </c>
      <c r="AJ26" s="25" t="str">
        <f t="shared" si="5"/>
        <v>rokprognozy=2044 i lp=23</v>
      </c>
      <c r="AK26" s="25" t="str">
        <f t="shared" si="5"/>
        <v>rokprognozy=2045 i lp=23</v>
      </c>
      <c r="AL26" s="25" t="str">
        <f t="shared" si="5"/>
        <v>rokprognozy=2046 i lp=23</v>
      </c>
      <c r="AM26" s="25" t="str">
        <f t="shared" si="5"/>
        <v>rokprognozy=2047 i lp=23</v>
      </c>
      <c r="AN26" s="25" t="str">
        <f t="shared" si="5"/>
        <v>rokprognozy=2048 i lp=23</v>
      </c>
      <c r="AO26" s="25" t="str">
        <f t="shared" si="5"/>
        <v>rokprognozy=2049 i lp=23</v>
      </c>
      <c r="AP26" s="25" t="str">
        <f t="shared" si="5"/>
        <v>rokprognozy=2050 i lp=23</v>
      </c>
    </row>
    <row r="27" spans="1:42" ht="15" customHeight="1" thickBot="1">
      <c r="A27" s="10">
        <v>24</v>
      </c>
      <c r="B27" s="39" t="s">
        <v>128</v>
      </c>
      <c r="C27" s="53" t="s">
        <v>129</v>
      </c>
      <c r="D27" s="25" t="str">
        <f t="shared" si="2"/>
        <v>rokprognozy=2012 i lp=24</v>
      </c>
      <c r="E27" s="25" t="str">
        <f t="shared" si="2"/>
        <v>rokprognozy=2013 i lp=24</v>
      </c>
      <c r="F27" s="25" t="str">
        <f t="shared" si="2"/>
        <v>rokprognozy=2014 i lp=24</v>
      </c>
      <c r="G27" s="25" t="str">
        <f t="shared" si="2"/>
        <v>rokprognozy=2015 i lp=24</v>
      </c>
      <c r="H27" s="25" t="str">
        <f t="shared" si="2"/>
        <v>rokprognozy=2016 i lp=24</v>
      </c>
      <c r="I27" s="25" t="str">
        <f t="shared" si="2"/>
        <v>rokprognozy=2017 i lp=24</v>
      </c>
      <c r="J27" s="25" t="str">
        <f t="shared" si="2"/>
        <v>rokprognozy=2018 i lp=24</v>
      </c>
      <c r="K27" s="25" t="str">
        <f t="shared" si="2"/>
        <v>rokprognozy=2019 i lp=24</v>
      </c>
      <c r="L27" s="25" t="str">
        <f t="shared" si="2"/>
        <v>rokprognozy=2020 i lp=24</v>
      </c>
      <c r="M27" s="25" t="str">
        <f t="shared" si="4"/>
        <v>rokprognozy=2021 i lp=24</v>
      </c>
      <c r="N27" s="25" t="str">
        <f t="shared" si="4"/>
        <v>rokprognozy=2022 i lp=24</v>
      </c>
      <c r="O27" s="25" t="str">
        <f t="shared" si="4"/>
        <v>rokprognozy=2023 i lp=24</v>
      </c>
      <c r="P27" s="25" t="str">
        <f t="shared" si="4"/>
        <v>rokprognozy=2024 i lp=24</v>
      </c>
      <c r="Q27" s="25" t="str">
        <f t="shared" si="4"/>
        <v>rokprognozy=2025 i lp=24</v>
      </c>
      <c r="R27" s="25" t="str">
        <f t="shared" si="4"/>
        <v>rokprognozy=2026 i lp=24</v>
      </c>
      <c r="S27" s="25" t="str">
        <f t="shared" si="4"/>
        <v>rokprognozy=2027 i lp=24</v>
      </c>
      <c r="T27" s="25" t="str">
        <f t="shared" si="4"/>
        <v>rokprognozy=2028 i lp=24</v>
      </c>
      <c r="U27" s="25" t="str">
        <f t="shared" si="4"/>
        <v>rokprognozy=2029 i lp=24</v>
      </c>
      <c r="V27" s="25" t="str">
        <f t="shared" si="4"/>
        <v>rokprognozy=2030 i lp=24</v>
      </c>
      <c r="W27" s="25" t="str">
        <f t="shared" si="4"/>
        <v>rokprognozy=2031 i lp=24</v>
      </c>
      <c r="X27" s="25" t="str">
        <f t="shared" si="4"/>
        <v>rokprognozy=2032 i lp=24</v>
      </c>
      <c r="Y27" s="25" t="str">
        <f t="shared" si="4"/>
        <v>rokprognozy=2033 i lp=24</v>
      </c>
      <c r="Z27" s="25" t="str">
        <f t="shared" si="4"/>
        <v>rokprognozy=2034 i lp=24</v>
      </c>
      <c r="AA27" s="25" t="str">
        <f t="shared" si="4"/>
        <v>rokprognozy=2035 i lp=24</v>
      </c>
      <c r="AB27" s="25" t="str">
        <f t="shared" si="4"/>
        <v>rokprognozy=2036 i lp=24</v>
      </c>
      <c r="AC27" s="25" t="str">
        <f t="shared" si="5"/>
        <v>rokprognozy=2037 i lp=24</v>
      </c>
      <c r="AD27" s="25" t="str">
        <f t="shared" si="5"/>
        <v>rokprognozy=2038 i lp=24</v>
      </c>
      <c r="AE27" s="25" t="str">
        <f t="shared" si="5"/>
        <v>rokprognozy=2039 i lp=24</v>
      </c>
      <c r="AF27" s="25" t="str">
        <f t="shared" si="5"/>
        <v>rokprognozy=2040 i lp=24</v>
      </c>
      <c r="AG27" s="25" t="str">
        <f t="shared" si="5"/>
        <v>rokprognozy=2041 i lp=24</v>
      </c>
      <c r="AH27" s="25" t="str">
        <f t="shared" si="5"/>
        <v>rokprognozy=2042 i lp=24</v>
      </c>
      <c r="AI27" s="25" t="str">
        <f t="shared" si="5"/>
        <v>rokprognozy=2043 i lp=24</v>
      </c>
      <c r="AJ27" s="25" t="str">
        <f t="shared" si="5"/>
        <v>rokprognozy=2044 i lp=24</v>
      </c>
      <c r="AK27" s="25" t="str">
        <f t="shared" si="5"/>
        <v>rokprognozy=2045 i lp=24</v>
      </c>
      <c r="AL27" s="25" t="str">
        <f t="shared" si="5"/>
        <v>rokprognozy=2046 i lp=24</v>
      </c>
      <c r="AM27" s="25" t="str">
        <f t="shared" si="5"/>
        <v>rokprognozy=2047 i lp=24</v>
      </c>
      <c r="AN27" s="25" t="str">
        <f t="shared" si="5"/>
        <v>rokprognozy=2048 i lp=24</v>
      </c>
      <c r="AO27" s="25" t="str">
        <f t="shared" si="5"/>
        <v>rokprognozy=2049 i lp=24</v>
      </c>
      <c r="AP27" s="25" t="str">
        <f t="shared" si="5"/>
        <v>rokprognozy=2050 i lp=24</v>
      </c>
    </row>
    <row r="28" spans="1:42" ht="14.25" customHeight="1">
      <c r="A28" s="11">
        <v>25</v>
      </c>
      <c r="B28" s="39">
        <v>8</v>
      </c>
      <c r="C28" s="54" t="s">
        <v>130</v>
      </c>
      <c r="D28" s="25" t="str">
        <f t="shared" si="2"/>
        <v>rokprognozy=2012 i lp=25</v>
      </c>
      <c r="E28" s="25" t="str">
        <f t="shared" si="2"/>
        <v>rokprognozy=2013 i lp=25</v>
      </c>
      <c r="F28" s="25" t="str">
        <f t="shared" si="2"/>
        <v>rokprognozy=2014 i lp=25</v>
      </c>
      <c r="G28" s="25" t="str">
        <f t="shared" si="2"/>
        <v>rokprognozy=2015 i lp=25</v>
      </c>
      <c r="H28" s="25" t="str">
        <f t="shared" si="2"/>
        <v>rokprognozy=2016 i lp=25</v>
      </c>
      <c r="I28" s="25" t="str">
        <f t="shared" si="2"/>
        <v>rokprognozy=2017 i lp=25</v>
      </c>
      <c r="J28" s="25" t="str">
        <f t="shared" si="2"/>
        <v>rokprognozy=2018 i lp=25</v>
      </c>
      <c r="K28" s="25" t="str">
        <f t="shared" si="2"/>
        <v>rokprognozy=2019 i lp=25</v>
      </c>
      <c r="L28" s="25" t="str">
        <f t="shared" si="2"/>
        <v>rokprognozy=2020 i lp=25</v>
      </c>
      <c r="M28" s="25" t="str">
        <f t="shared" si="4"/>
        <v>rokprognozy=2021 i lp=25</v>
      </c>
      <c r="N28" s="25" t="str">
        <f t="shared" si="4"/>
        <v>rokprognozy=2022 i lp=25</v>
      </c>
      <c r="O28" s="25" t="str">
        <f t="shared" si="4"/>
        <v>rokprognozy=2023 i lp=25</v>
      </c>
      <c r="P28" s="25" t="str">
        <f t="shared" si="4"/>
        <v>rokprognozy=2024 i lp=25</v>
      </c>
      <c r="Q28" s="25" t="str">
        <f t="shared" si="4"/>
        <v>rokprognozy=2025 i lp=25</v>
      </c>
      <c r="R28" s="25" t="str">
        <f t="shared" si="4"/>
        <v>rokprognozy=2026 i lp=25</v>
      </c>
      <c r="S28" s="25" t="str">
        <f t="shared" si="4"/>
        <v>rokprognozy=2027 i lp=25</v>
      </c>
      <c r="T28" s="25" t="str">
        <f t="shared" si="4"/>
        <v>rokprognozy=2028 i lp=25</v>
      </c>
      <c r="U28" s="25" t="str">
        <f t="shared" si="4"/>
        <v>rokprognozy=2029 i lp=25</v>
      </c>
      <c r="V28" s="25" t="str">
        <f t="shared" si="4"/>
        <v>rokprognozy=2030 i lp=25</v>
      </c>
      <c r="W28" s="25" t="str">
        <f t="shared" si="4"/>
        <v>rokprognozy=2031 i lp=25</v>
      </c>
      <c r="X28" s="25" t="str">
        <f t="shared" si="4"/>
        <v>rokprognozy=2032 i lp=25</v>
      </c>
      <c r="Y28" s="25" t="str">
        <f t="shared" si="4"/>
        <v>rokprognozy=2033 i lp=25</v>
      </c>
      <c r="Z28" s="25" t="str">
        <f t="shared" si="4"/>
        <v>rokprognozy=2034 i lp=25</v>
      </c>
      <c r="AA28" s="25" t="str">
        <f t="shared" si="4"/>
        <v>rokprognozy=2035 i lp=25</v>
      </c>
      <c r="AB28" s="25" t="str">
        <f t="shared" si="4"/>
        <v>rokprognozy=2036 i lp=25</v>
      </c>
      <c r="AC28" s="25" t="str">
        <f t="shared" si="5"/>
        <v>rokprognozy=2037 i lp=25</v>
      </c>
      <c r="AD28" s="25" t="str">
        <f t="shared" si="5"/>
        <v>rokprognozy=2038 i lp=25</v>
      </c>
      <c r="AE28" s="25" t="str">
        <f t="shared" si="5"/>
        <v>rokprognozy=2039 i lp=25</v>
      </c>
      <c r="AF28" s="25" t="str">
        <f t="shared" si="5"/>
        <v>rokprognozy=2040 i lp=25</v>
      </c>
      <c r="AG28" s="25" t="str">
        <f t="shared" si="5"/>
        <v>rokprognozy=2041 i lp=25</v>
      </c>
      <c r="AH28" s="25" t="str">
        <f t="shared" si="5"/>
        <v>rokprognozy=2042 i lp=25</v>
      </c>
      <c r="AI28" s="25" t="str">
        <f t="shared" si="5"/>
        <v>rokprognozy=2043 i lp=25</v>
      </c>
      <c r="AJ28" s="25" t="str">
        <f t="shared" si="5"/>
        <v>rokprognozy=2044 i lp=25</v>
      </c>
      <c r="AK28" s="25" t="str">
        <f t="shared" si="5"/>
        <v>rokprognozy=2045 i lp=25</v>
      </c>
      <c r="AL28" s="25" t="str">
        <f t="shared" si="5"/>
        <v>rokprognozy=2046 i lp=25</v>
      </c>
      <c r="AM28" s="25" t="str">
        <f t="shared" si="5"/>
        <v>rokprognozy=2047 i lp=25</v>
      </c>
      <c r="AN28" s="25" t="str">
        <f t="shared" si="5"/>
        <v>rokprognozy=2048 i lp=25</v>
      </c>
      <c r="AO28" s="25" t="str">
        <f t="shared" si="5"/>
        <v>rokprognozy=2049 i lp=25</v>
      </c>
      <c r="AP28" s="25" t="str">
        <f t="shared" si="5"/>
        <v>rokprognozy=2050 i lp=25</v>
      </c>
    </row>
    <row r="29" spans="1:42" ht="14.25" customHeight="1">
      <c r="A29" s="7">
        <v>26</v>
      </c>
      <c r="B29" s="39">
        <v>9</v>
      </c>
      <c r="C29" s="2" t="s">
        <v>131</v>
      </c>
      <c r="D29" s="25" t="str">
        <f t="shared" si="2"/>
        <v>rokprognozy=2012 i lp=26</v>
      </c>
      <c r="E29" s="25" t="str">
        <f t="shared" si="2"/>
        <v>rokprognozy=2013 i lp=26</v>
      </c>
      <c r="F29" s="25" t="str">
        <f t="shared" si="2"/>
        <v>rokprognozy=2014 i lp=26</v>
      </c>
      <c r="G29" s="25" t="str">
        <f t="shared" si="2"/>
        <v>rokprognozy=2015 i lp=26</v>
      </c>
      <c r="H29" s="25" t="str">
        <f t="shared" si="2"/>
        <v>rokprognozy=2016 i lp=26</v>
      </c>
      <c r="I29" s="25" t="str">
        <f t="shared" si="2"/>
        <v>rokprognozy=2017 i lp=26</v>
      </c>
      <c r="J29" s="25" t="str">
        <f t="shared" si="2"/>
        <v>rokprognozy=2018 i lp=26</v>
      </c>
      <c r="K29" s="25" t="str">
        <f t="shared" si="2"/>
        <v>rokprognozy=2019 i lp=26</v>
      </c>
      <c r="L29" s="25" t="str">
        <f t="shared" si="2"/>
        <v>rokprognozy=2020 i lp=26</v>
      </c>
      <c r="M29" s="25" t="str">
        <f t="shared" si="4"/>
        <v>rokprognozy=2021 i lp=26</v>
      </c>
      <c r="N29" s="25" t="str">
        <f t="shared" si="4"/>
        <v>rokprognozy=2022 i lp=26</v>
      </c>
      <c r="O29" s="25" t="str">
        <f t="shared" si="4"/>
        <v>rokprognozy=2023 i lp=26</v>
      </c>
      <c r="P29" s="25" t="str">
        <f t="shared" si="4"/>
        <v>rokprognozy=2024 i lp=26</v>
      </c>
      <c r="Q29" s="25" t="str">
        <f t="shared" si="4"/>
        <v>rokprognozy=2025 i lp=26</v>
      </c>
      <c r="R29" s="25" t="str">
        <f t="shared" si="4"/>
        <v>rokprognozy=2026 i lp=26</v>
      </c>
      <c r="S29" s="25" t="str">
        <f t="shared" si="4"/>
        <v>rokprognozy=2027 i lp=26</v>
      </c>
      <c r="T29" s="25" t="str">
        <f t="shared" si="4"/>
        <v>rokprognozy=2028 i lp=26</v>
      </c>
      <c r="U29" s="25" t="str">
        <f t="shared" si="4"/>
        <v>rokprognozy=2029 i lp=26</v>
      </c>
      <c r="V29" s="25" t="str">
        <f t="shared" si="4"/>
        <v>rokprognozy=2030 i lp=26</v>
      </c>
      <c r="W29" s="25" t="str">
        <f t="shared" si="4"/>
        <v>rokprognozy=2031 i lp=26</v>
      </c>
      <c r="X29" s="25" t="str">
        <f t="shared" si="4"/>
        <v>rokprognozy=2032 i lp=26</v>
      </c>
      <c r="Y29" s="25" t="str">
        <f t="shared" si="4"/>
        <v>rokprognozy=2033 i lp=26</v>
      </c>
      <c r="Z29" s="25" t="str">
        <f t="shared" si="4"/>
        <v>rokprognozy=2034 i lp=26</v>
      </c>
      <c r="AA29" s="25" t="str">
        <f t="shared" si="4"/>
        <v>rokprognozy=2035 i lp=26</v>
      </c>
      <c r="AB29" s="25" t="str">
        <f t="shared" si="4"/>
        <v>rokprognozy=2036 i lp=26</v>
      </c>
      <c r="AC29" s="25" t="str">
        <f t="shared" si="5"/>
        <v>rokprognozy=2037 i lp=26</v>
      </c>
      <c r="AD29" s="25" t="str">
        <f t="shared" si="5"/>
        <v>rokprognozy=2038 i lp=26</v>
      </c>
      <c r="AE29" s="25" t="str">
        <f t="shared" si="5"/>
        <v>rokprognozy=2039 i lp=26</v>
      </c>
      <c r="AF29" s="25" t="str">
        <f t="shared" si="5"/>
        <v>rokprognozy=2040 i lp=26</v>
      </c>
      <c r="AG29" s="25" t="str">
        <f t="shared" si="5"/>
        <v>rokprognozy=2041 i lp=26</v>
      </c>
      <c r="AH29" s="25" t="str">
        <f t="shared" si="5"/>
        <v>rokprognozy=2042 i lp=26</v>
      </c>
      <c r="AI29" s="25" t="str">
        <f t="shared" si="5"/>
        <v>rokprognozy=2043 i lp=26</v>
      </c>
      <c r="AJ29" s="25" t="str">
        <f t="shared" si="5"/>
        <v>rokprognozy=2044 i lp=26</v>
      </c>
      <c r="AK29" s="25" t="str">
        <f t="shared" si="5"/>
        <v>rokprognozy=2045 i lp=26</v>
      </c>
      <c r="AL29" s="25" t="str">
        <f t="shared" si="5"/>
        <v>rokprognozy=2046 i lp=26</v>
      </c>
      <c r="AM29" s="25" t="str">
        <f t="shared" si="5"/>
        <v>rokprognozy=2047 i lp=26</v>
      </c>
      <c r="AN29" s="25" t="str">
        <f t="shared" si="5"/>
        <v>rokprognozy=2048 i lp=26</v>
      </c>
      <c r="AO29" s="25" t="str">
        <f t="shared" si="5"/>
        <v>rokprognozy=2049 i lp=26</v>
      </c>
      <c r="AP29" s="25" t="str">
        <f t="shared" si="5"/>
        <v>rokprognozy=2050 i lp=26</v>
      </c>
    </row>
    <row r="30" spans="1:42" ht="14.25" customHeight="1">
      <c r="A30" s="7">
        <v>27</v>
      </c>
      <c r="B30" s="39">
        <v>10</v>
      </c>
      <c r="C30" s="2" t="s">
        <v>18</v>
      </c>
      <c r="D30" s="25" t="str">
        <f t="shared" si="2"/>
        <v>rokprognozy=2012 i lp=27</v>
      </c>
      <c r="E30" s="25" t="str">
        <f t="shared" si="2"/>
        <v>rokprognozy=2013 i lp=27</v>
      </c>
      <c r="F30" s="25" t="str">
        <f t="shared" si="2"/>
        <v>rokprognozy=2014 i lp=27</v>
      </c>
      <c r="G30" s="25" t="str">
        <f aca="true" t="shared" si="6" ref="D30:S45">+"rokprognozy="&amp;G$3&amp;" i lp="&amp;$A30</f>
        <v>rokprognozy=2015 i lp=27</v>
      </c>
      <c r="H30" s="25" t="str">
        <f t="shared" si="6"/>
        <v>rokprognozy=2016 i lp=27</v>
      </c>
      <c r="I30" s="25" t="str">
        <f t="shared" si="6"/>
        <v>rokprognozy=2017 i lp=27</v>
      </c>
      <c r="J30" s="25" t="str">
        <f t="shared" si="6"/>
        <v>rokprognozy=2018 i lp=27</v>
      </c>
      <c r="K30" s="25" t="str">
        <f t="shared" si="6"/>
        <v>rokprognozy=2019 i lp=27</v>
      </c>
      <c r="L30" s="25" t="str">
        <f t="shared" si="6"/>
        <v>rokprognozy=2020 i lp=27</v>
      </c>
      <c r="M30" s="25" t="str">
        <f t="shared" si="4"/>
        <v>rokprognozy=2021 i lp=27</v>
      </c>
      <c r="N30" s="25" t="str">
        <f t="shared" si="4"/>
        <v>rokprognozy=2022 i lp=27</v>
      </c>
      <c r="O30" s="25" t="str">
        <f t="shared" si="4"/>
        <v>rokprognozy=2023 i lp=27</v>
      </c>
      <c r="P30" s="25" t="str">
        <f t="shared" si="4"/>
        <v>rokprognozy=2024 i lp=27</v>
      </c>
      <c r="Q30" s="25" t="str">
        <f t="shared" si="4"/>
        <v>rokprognozy=2025 i lp=27</v>
      </c>
      <c r="R30" s="25" t="str">
        <f t="shared" si="4"/>
        <v>rokprognozy=2026 i lp=27</v>
      </c>
      <c r="S30" s="25" t="str">
        <f t="shared" si="4"/>
        <v>rokprognozy=2027 i lp=27</v>
      </c>
      <c r="T30" s="25" t="str">
        <f t="shared" si="4"/>
        <v>rokprognozy=2028 i lp=27</v>
      </c>
      <c r="U30" s="25" t="str">
        <f t="shared" si="4"/>
        <v>rokprognozy=2029 i lp=27</v>
      </c>
      <c r="V30" s="25" t="str">
        <f t="shared" si="4"/>
        <v>rokprognozy=2030 i lp=27</v>
      </c>
      <c r="W30" s="25" t="str">
        <f t="shared" si="4"/>
        <v>rokprognozy=2031 i lp=27</v>
      </c>
      <c r="X30" s="25" t="str">
        <f t="shared" si="4"/>
        <v>rokprognozy=2032 i lp=27</v>
      </c>
      <c r="Y30" s="25" t="str">
        <f t="shared" si="4"/>
        <v>rokprognozy=2033 i lp=27</v>
      </c>
      <c r="Z30" s="25" t="str">
        <f t="shared" si="4"/>
        <v>rokprognozy=2034 i lp=27</v>
      </c>
      <c r="AA30" s="25" t="str">
        <f t="shared" si="4"/>
        <v>rokprognozy=2035 i lp=27</v>
      </c>
      <c r="AB30" s="25" t="str">
        <f t="shared" si="4"/>
        <v>rokprognozy=2036 i lp=27</v>
      </c>
      <c r="AC30" s="25" t="str">
        <f t="shared" si="5"/>
        <v>rokprognozy=2037 i lp=27</v>
      </c>
      <c r="AD30" s="25" t="str">
        <f t="shared" si="5"/>
        <v>rokprognozy=2038 i lp=27</v>
      </c>
      <c r="AE30" s="25" t="str">
        <f t="shared" si="5"/>
        <v>rokprognozy=2039 i lp=27</v>
      </c>
      <c r="AF30" s="25" t="str">
        <f t="shared" si="5"/>
        <v>rokprognozy=2040 i lp=27</v>
      </c>
      <c r="AG30" s="25" t="str">
        <f t="shared" si="5"/>
        <v>rokprognozy=2041 i lp=27</v>
      </c>
      <c r="AH30" s="25" t="str">
        <f t="shared" si="5"/>
        <v>rokprognozy=2042 i lp=27</v>
      </c>
      <c r="AI30" s="25" t="str">
        <f t="shared" si="5"/>
        <v>rokprognozy=2043 i lp=27</v>
      </c>
      <c r="AJ30" s="25" t="str">
        <f t="shared" si="5"/>
        <v>rokprognozy=2044 i lp=27</v>
      </c>
      <c r="AK30" s="25" t="str">
        <f t="shared" si="5"/>
        <v>rokprognozy=2045 i lp=27</v>
      </c>
      <c r="AL30" s="25" t="str">
        <f t="shared" si="5"/>
        <v>rokprognozy=2046 i lp=27</v>
      </c>
      <c r="AM30" s="25" t="str">
        <f t="shared" si="5"/>
        <v>rokprognozy=2047 i lp=27</v>
      </c>
      <c r="AN30" s="25" t="str">
        <f t="shared" si="5"/>
        <v>rokprognozy=2048 i lp=27</v>
      </c>
      <c r="AO30" s="25" t="str">
        <f t="shared" si="5"/>
        <v>rokprognozy=2049 i lp=27</v>
      </c>
      <c r="AP30" s="25" t="str">
        <f t="shared" si="5"/>
        <v>rokprognozy=2050 i lp=27</v>
      </c>
    </row>
    <row r="31" spans="1:42" ht="14.25" customHeight="1">
      <c r="A31" s="8">
        <v>28</v>
      </c>
      <c r="B31" s="39" t="s">
        <v>132</v>
      </c>
      <c r="C31" s="48" t="s">
        <v>133</v>
      </c>
      <c r="D31" s="25" t="str">
        <f t="shared" si="6"/>
        <v>rokprognozy=2012 i lp=28</v>
      </c>
      <c r="E31" s="25" t="str">
        <f t="shared" si="6"/>
        <v>rokprognozy=2013 i lp=28</v>
      </c>
      <c r="F31" s="25" t="str">
        <f t="shared" si="6"/>
        <v>rokprognozy=2014 i lp=28</v>
      </c>
      <c r="G31" s="25" t="str">
        <f t="shared" si="6"/>
        <v>rokprognozy=2015 i lp=28</v>
      </c>
      <c r="H31" s="25" t="str">
        <f t="shared" si="6"/>
        <v>rokprognozy=2016 i lp=28</v>
      </c>
      <c r="I31" s="25" t="str">
        <f t="shared" si="6"/>
        <v>rokprognozy=2017 i lp=28</v>
      </c>
      <c r="J31" s="25" t="str">
        <f t="shared" si="6"/>
        <v>rokprognozy=2018 i lp=28</v>
      </c>
      <c r="K31" s="25" t="str">
        <f t="shared" si="6"/>
        <v>rokprognozy=2019 i lp=28</v>
      </c>
      <c r="L31" s="25" t="str">
        <f t="shared" si="6"/>
        <v>rokprognozy=2020 i lp=28</v>
      </c>
      <c r="M31" s="25" t="str">
        <f t="shared" si="4"/>
        <v>rokprognozy=2021 i lp=28</v>
      </c>
      <c r="N31" s="25" t="str">
        <f t="shared" si="4"/>
        <v>rokprognozy=2022 i lp=28</v>
      </c>
      <c r="O31" s="25" t="str">
        <f t="shared" si="4"/>
        <v>rokprognozy=2023 i lp=28</v>
      </c>
      <c r="P31" s="25" t="str">
        <f t="shared" si="4"/>
        <v>rokprognozy=2024 i lp=28</v>
      </c>
      <c r="Q31" s="25" t="str">
        <f t="shared" si="4"/>
        <v>rokprognozy=2025 i lp=28</v>
      </c>
      <c r="R31" s="25" t="str">
        <f t="shared" si="4"/>
        <v>rokprognozy=2026 i lp=28</v>
      </c>
      <c r="S31" s="25" t="str">
        <f t="shared" si="4"/>
        <v>rokprognozy=2027 i lp=28</v>
      </c>
      <c r="T31" s="25" t="str">
        <f t="shared" si="4"/>
        <v>rokprognozy=2028 i lp=28</v>
      </c>
      <c r="U31" s="25" t="str">
        <f t="shared" si="4"/>
        <v>rokprognozy=2029 i lp=28</v>
      </c>
      <c r="V31" s="25" t="str">
        <f t="shared" si="4"/>
        <v>rokprognozy=2030 i lp=28</v>
      </c>
      <c r="W31" s="25" t="str">
        <f t="shared" si="4"/>
        <v>rokprognozy=2031 i lp=28</v>
      </c>
      <c r="X31" s="25" t="str">
        <f t="shared" si="4"/>
        <v>rokprognozy=2032 i lp=28</v>
      </c>
      <c r="Y31" s="25" t="str">
        <f t="shared" si="4"/>
        <v>rokprognozy=2033 i lp=28</v>
      </c>
      <c r="Z31" s="25" t="str">
        <f t="shared" si="4"/>
        <v>rokprognozy=2034 i lp=28</v>
      </c>
      <c r="AA31" s="25" t="str">
        <f t="shared" si="4"/>
        <v>rokprognozy=2035 i lp=28</v>
      </c>
      <c r="AB31" s="25" t="str">
        <f t="shared" si="4"/>
        <v>rokprognozy=2036 i lp=28</v>
      </c>
      <c r="AC31" s="25" t="str">
        <f t="shared" si="5"/>
        <v>rokprognozy=2037 i lp=28</v>
      </c>
      <c r="AD31" s="25" t="str">
        <f t="shared" si="5"/>
        <v>rokprognozy=2038 i lp=28</v>
      </c>
      <c r="AE31" s="25" t="str">
        <f t="shared" si="5"/>
        <v>rokprognozy=2039 i lp=28</v>
      </c>
      <c r="AF31" s="25" t="str">
        <f t="shared" si="5"/>
        <v>rokprognozy=2040 i lp=28</v>
      </c>
      <c r="AG31" s="25" t="str">
        <f t="shared" si="5"/>
        <v>rokprognozy=2041 i lp=28</v>
      </c>
      <c r="AH31" s="25" t="str">
        <f t="shared" si="5"/>
        <v>rokprognozy=2042 i lp=28</v>
      </c>
      <c r="AI31" s="25" t="str">
        <f t="shared" si="5"/>
        <v>rokprognozy=2043 i lp=28</v>
      </c>
      <c r="AJ31" s="25" t="str">
        <f t="shared" si="5"/>
        <v>rokprognozy=2044 i lp=28</v>
      </c>
      <c r="AK31" s="25" t="str">
        <f t="shared" si="5"/>
        <v>rokprognozy=2045 i lp=28</v>
      </c>
      <c r="AL31" s="25" t="str">
        <f t="shared" si="5"/>
        <v>rokprognozy=2046 i lp=28</v>
      </c>
      <c r="AM31" s="25" t="str">
        <f t="shared" si="5"/>
        <v>rokprognozy=2047 i lp=28</v>
      </c>
      <c r="AN31" s="25" t="str">
        <f t="shared" si="5"/>
        <v>rokprognozy=2048 i lp=28</v>
      </c>
      <c r="AO31" s="25" t="str">
        <f t="shared" si="5"/>
        <v>rokprognozy=2049 i lp=28</v>
      </c>
      <c r="AP31" s="25" t="str">
        <f t="shared" si="5"/>
        <v>rokprognozy=2050 i lp=28</v>
      </c>
    </row>
    <row r="32" spans="1:42" ht="49.5" customHeight="1">
      <c r="A32" s="8">
        <v>29</v>
      </c>
      <c r="B32" s="39" t="s">
        <v>134</v>
      </c>
      <c r="C32" s="48" t="s">
        <v>115</v>
      </c>
      <c r="D32" s="25" t="str">
        <f t="shared" si="6"/>
        <v>rokprognozy=2012 i lp=29</v>
      </c>
      <c r="E32" s="25" t="str">
        <f t="shared" si="6"/>
        <v>rokprognozy=2013 i lp=29</v>
      </c>
      <c r="F32" s="37" t="str">
        <f t="shared" si="6"/>
        <v>rokprognozy=2014 i lp=29</v>
      </c>
      <c r="G32" s="37" t="str">
        <f t="shared" si="6"/>
        <v>rokprognozy=2015 i lp=29</v>
      </c>
      <c r="H32" s="37" t="str">
        <f t="shared" si="6"/>
        <v>rokprognozy=2016 i lp=29</v>
      </c>
      <c r="I32" s="37" t="str">
        <f t="shared" si="6"/>
        <v>rokprognozy=2017 i lp=29</v>
      </c>
      <c r="J32" s="37" t="str">
        <f t="shared" si="6"/>
        <v>rokprognozy=2018 i lp=29</v>
      </c>
      <c r="K32" s="37" t="str">
        <f t="shared" si="6"/>
        <v>rokprognozy=2019 i lp=29</v>
      </c>
      <c r="L32" s="37" t="str">
        <f t="shared" si="6"/>
        <v>rokprognozy=2020 i lp=29</v>
      </c>
      <c r="M32" s="37" t="str">
        <f t="shared" si="4"/>
        <v>rokprognozy=2021 i lp=29</v>
      </c>
      <c r="N32" s="37" t="str">
        <f t="shared" si="4"/>
        <v>rokprognozy=2022 i lp=29</v>
      </c>
      <c r="O32" s="37" t="str">
        <f t="shared" si="4"/>
        <v>rokprognozy=2023 i lp=29</v>
      </c>
      <c r="P32" s="37" t="str">
        <f t="shared" si="4"/>
        <v>rokprognozy=2024 i lp=29</v>
      </c>
      <c r="Q32" s="37" t="str">
        <f t="shared" si="4"/>
        <v>rokprognozy=2025 i lp=29</v>
      </c>
      <c r="R32" s="37" t="str">
        <f t="shared" si="4"/>
        <v>rokprognozy=2026 i lp=29</v>
      </c>
      <c r="S32" s="37" t="str">
        <f t="shared" si="4"/>
        <v>rokprognozy=2027 i lp=29</v>
      </c>
      <c r="T32" s="37" t="str">
        <f t="shared" si="4"/>
        <v>rokprognozy=2028 i lp=29</v>
      </c>
      <c r="U32" s="37" t="str">
        <f t="shared" si="4"/>
        <v>rokprognozy=2029 i lp=29</v>
      </c>
      <c r="V32" s="37" t="str">
        <f t="shared" si="4"/>
        <v>rokprognozy=2030 i lp=29</v>
      </c>
      <c r="W32" s="37" t="str">
        <f t="shared" si="4"/>
        <v>rokprognozy=2031 i lp=29</v>
      </c>
      <c r="X32" s="37" t="str">
        <f t="shared" si="4"/>
        <v>rokprognozy=2032 i lp=29</v>
      </c>
      <c r="Y32" s="37" t="str">
        <f t="shared" si="4"/>
        <v>rokprognozy=2033 i lp=29</v>
      </c>
      <c r="Z32" s="37" t="str">
        <f t="shared" si="4"/>
        <v>rokprognozy=2034 i lp=29</v>
      </c>
      <c r="AA32" s="37" t="str">
        <f t="shared" si="4"/>
        <v>rokprognozy=2035 i lp=29</v>
      </c>
      <c r="AB32" s="37" t="str">
        <f>+"rokprognozy="&amp;AB$3&amp;" i lp="&amp;$A32</f>
        <v>rokprognozy=2036 i lp=29</v>
      </c>
      <c r="AC32" s="37" t="str">
        <f t="shared" si="5"/>
        <v>rokprognozy=2037 i lp=29</v>
      </c>
      <c r="AD32" s="37" t="str">
        <f t="shared" si="5"/>
        <v>rokprognozy=2038 i lp=29</v>
      </c>
      <c r="AE32" s="37" t="str">
        <f t="shared" si="5"/>
        <v>rokprognozy=2039 i lp=29</v>
      </c>
      <c r="AF32" s="37" t="str">
        <f t="shared" si="5"/>
        <v>rokprognozy=2040 i lp=29</v>
      </c>
      <c r="AG32" s="37" t="str">
        <f t="shared" si="5"/>
        <v>rokprognozy=2041 i lp=29</v>
      </c>
      <c r="AH32" s="37" t="str">
        <f t="shared" si="5"/>
        <v>rokprognozy=2042 i lp=29</v>
      </c>
      <c r="AI32" s="37" t="str">
        <f t="shared" si="5"/>
        <v>rokprognozy=2043 i lp=29</v>
      </c>
      <c r="AJ32" s="37" t="str">
        <f t="shared" si="5"/>
        <v>rokprognozy=2044 i lp=29</v>
      </c>
      <c r="AK32" s="37" t="str">
        <f t="shared" si="5"/>
        <v>rokprognozy=2045 i lp=29</v>
      </c>
      <c r="AL32" s="37" t="str">
        <f t="shared" si="5"/>
        <v>rokprognozy=2046 i lp=29</v>
      </c>
      <c r="AM32" s="37" t="str">
        <f t="shared" si="5"/>
        <v>rokprognozy=2047 i lp=29</v>
      </c>
      <c r="AN32" s="37" t="str">
        <f t="shared" si="5"/>
        <v>rokprognozy=2048 i lp=29</v>
      </c>
      <c r="AO32" s="37" t="str">
        <f t="shared" si="5"/>
        <v>rokprognozy=2049 i lp=29</v>
      </c>
      <c r="AP32" s="37" t="str">
        <f t="shared" si="5"/>
        <v>rokprognozy=2050 i lp=29</v>
      </c>
    </row>
    <row r="33" spans="1:42" ht="14.25">
      <c r="A33" s="8">
        <v>30</v>
      </c>
      <c r="B33" s="39">
        <v>11</v>
      </c>
      <c r="C33" s="48" t="s">
        <v>62</v>
      </c>
      <c r="D33" s="25" t="str">
        <f t="shared" si="6"/>
        <v>rokprognozy=2012 i lp=30</v>
      </c>
      <c r="E33" s="25" t="str">
        <f t="shared" si="6"/>
        <v>rokprognozy=2013 i lp=30</v>
      </c>
      <c r="F33" s="37" t="str">
        <f t="shared" si="6"/>
        <v>rokprognozy=2014 i lp=30</v>
      </c>
      <c r="G33" s="37" t="str">
        <f t="shared" si="6"/>
        <v>rokprognozy=2015 i lp=30</v>
      </c>
      <c r="H33" s="37" t="str">
        <f t="shared" si="6"/>
        <v>rokprognozy=2016 i lp=30</v>
      </c>
      <c r="I33" s="37" t="str">
        <f t="shared" si="6"/>
        <v>rokprognozy=2017 i lp=30</v>
      </c>
      <c r="J33" s="37" t="str">
        <f t="shared" si="6"/>
        <v>rokprognozy=2018 i lp=30</v>
      </c>
      <c r="K33" s="37" t="str">
        <f t="shared" si="6"/>
        <v>rokprognozy=2019 i lp=30</v>
      </c>
      <c r="L33" s="37" t="str">
        <f t="shared" si="6"/>
        <v>rokprognozy=2020 i lp=30</v>
      </c>
      <c r="M33" s="37" t="str">
        <f t="shared" si="6"/>
        <v>rokprognozy=2021 i lp=30</v>
      </c>
      <c r="N33" s="37" t="str">
        <f t="shared" si="6"/>
        <v>rokprognozy=2022 i lp=30</v>
      </c>
      <c r="O33" s="37" t="str">
        <f t="shared" si="6"/>
        <v>rokprognozy=2023 i lp=30</v>
      </c>
      <c r="P33" s="37" t="str">
        <f t="shared" si="6"/>
        <v>rokprognozy=2024 i lp=30</v>
      </c>
      <c r="Q33" s="37" t="str">
        <f t="shared" si="6"/>
        <v>rokprognozy=2025 i lp=30</v>
      </c>
      <c r="R33" s="37" t="str">
        <f t="shared" si="6"/>
        <v>rokprognozy=2026 i lp=30</v>
      </c>
      <c r="S33" s="37" t="str">
        <f t="shared" si="6"/>
        <v>rokprognozy=2027 i lp=30</v>
      </c>
      <c r="T33" s="37" t="str">
        <f aca="true" t="shared" si="7" ref="M33:AB49">+"rokprognozy="&amp;T$3&amp;" i lp="&amp;$A33</f>
        <v>rokprognozy=2028 i lp=30</v>
      </c>
      <c r="U33" s="37" t="str">
        <f t="shared" si="7"/>
        <v>rokprognozy=2029 i lp=30</v>
      </c>
      <c r="V33" s="37" t="str">
        <f t="shared" si="7"/>
        <v>rokprognozy=2030 i lp=30</v>
      </c>
      <c r="W33" s="37" t="str">
        <f t="shared" si="7"/>
        <v>rokprognozy=2031 i lp=30</v>
      </c>
      <c r="X33" s="37" t="str">
        <f t="shared" si="7"/>
        <v>rokprognozy=2032 i lp=30</v>
      </c>
      <c r="Y33" s="37" t="str">
        <f t="shared" si="7"/>
        <v>rokprognozy=2033 i lp=30</v>
      </c>
      <c r="Z33" s="37" t="str">
        <f t="shared" si="7"/>
        <v>rokprognozy=2034 i lp=30</v>
      </c>
      <c r="AA33" s="37" t="str">
        <f t="shared" si="7"/>
        <v>rokprognozy=2035 i lp=30</v>
      </c>
      <c r="AB33" s="37" t="str">
        <f t="shared" si="7"/>
        <v>rokprognozy=2036 i lp=30</v>
      </c>
      <c r="AC33" s="37" t="str">
        <f t="shared" si="5"/>
        <v>rokprognozy=2037 i lp=30</v>
      </c>
      <c r="AD33" s="37" t="str">
        <f t="shared" si="5"/>
        <v>rokprognozy=2038 i lp=30</v>
      </c>
      <c r="AE33" s="37" t="str">
        <f t="shared" si="5"/>
        <v>rokprognozy=2039 i lp=30</v>
      </c>
      <c r="AF33" s="37" t="str">
        <f t="shared" si="5"/>
        <v>rokprognozy=2040 i lp=30</v>
      </c>
      <c r="AG33" s="37" t="str">
        <f t="shared" si="5"/>
        <v>rokprognozy=2041 i lp=30</v>
      </c>
      <c r="AH33" s="37" t="str">
        <f t="shared" si="5"/>
        <v>rokprognozy=2042 i lp=30</v>
      </c>
      <c r="AI33" s="37" t="str">
        <f t="shared" si="5"/>
        <v>rokprognozy=2043 i lp=30</v>
      </c>
      <c r="AJ33" s="37" t="str">
        <f t="shared" si="5"/>
        <v>rokprognozy=2044 i lp=30</v>
      </c>
      <c r="AK33" s="37" t="str">
        <f t="shared" si="5"/>
        <v>rokprognozy=2045 i lp=30</v>
      </c>
      <c r="AL33" s="37" t="str">
        <f t="shared" si="5"/>
        <v>rokprognozy=2046 i lp=30</v>
      </c>
      <c r="AM33" s="37" t="str">
        <f t="shared" si="5"/>
        <v>rokprognozy=2047 i lp=30</v>
      </c>
      <c r="AN33" s="37" t="str">
        <f t="shared" si="5"/>
        <v>rokprognozy=2048 i lp=30</v>
      </c>
      <c r="AO33" s="37" t="str">
        <f t="shared" si="5"/>
        <v>rokprognozy=2049 i lp=30</v>
      </c>
      <c r="AP33" s="37" t="str">
        <f t="shared" si="5"/>
        <v>rokprognozy=2050 i lp=30</v>
      </c>
    </row>
    <row r="34" spans="1:42" ht="14.25">
      <c r="A34" s="8">
        <v>31</v>
      </c>
      <c r="B34" s="39" t="s">
        <v>135</v>
      </c>
      <c r="C34" s="48" t="s">
        <v>118</v>
      </c>
      <c r="D34" s="25" t="str">
        <f t="shared" si="6"/>
        <v>rokprognozy=2012 i lp=31</v>
      </c>
      <c r="E34" s="25" t="str">
        <f t="shared" si="6"/>
        <v>rokprognozy=2013 i lp=31</v>
      </c>
      <c r="F34" s="37" t="str">
        <f t="shared" si="6"/>
        <v>rokprognozy=2014 i lp=31</v>
      </c>
      <c r="G34" s="37" t="str">
        <f t="shared" si="6"/>
        <v>rokprognozy=2015 i lp=31</v>
      </c>
      <c r="H34" s="37" t="str">
        <f t="shared" si="6"/>
        <v>rokprognozy=2016 i lp=31</v>
      </c>
      <c r="I34" s="37" t="str">
        <f t="shared" si="6"/>
        <v>rokprognozy=2017 i lp=31</v>
      </c>
      <c r="J34" s="37" t="str">
        <f t="shared" si="6"/>
        <v>rokprognozy=2018 i lp=31</v>
      </c>
      <c r="K34" s="37" t="str">
        <f t="shared" si="6"/>
        <v>rokprognozy=2019 i lp=31</v>
      </c>
      <c r="L34" s="37" t="str">
        <f t="shared" si="6"/>
        <v>rokprognozy=2020 i lp=31</v>
      </c>
      <c r="M34" s="37" t="str">
        <f t="shared" si="7"/>
        <v>rokprognozy=2021 i lp=31</v>
      </c>
      <c r="N34" s="37" t="str">
        <f t="shared" si="7"/>
        <v>rokprognozy=2022 i lp=31</v>
      </c>
      <c r="O34" s="37" t="str">
        <f t="shared" si="7"/>
        <v>rokprognozy=2023 i lp=31</v>
      </c>
      <c r="P34" s="37" t="str">
        <f t="shared" si="7"/>
        <v>rokprognozy=2024 i lp=31</v>
      </c>
      <c r="Q34" s="37" t="str">
        <f t="shared" si="7"/>
        <v>rokprognozy=2025 i lp=31</v>
      </c>
      <c r="R34" s="37" t="str">
        <f t="shared" si="7"/>
        <v>rokprognozy=2026 i lp=31</v>
      </c>
      <c r="S34" s="37" t="str">
        <f t="shared" si="7"/>
        <v>rokprognozy=2027 i lp=31</v>
      </c>
      <c r="T34" s="37" t="str">
        <f t="shared" si="7"/>
        <v>rokprognozy=2028 i lp=31</v>
      </c>
      <c r="U34" s="37" t="str">
        <f t="shared" si="7"/>
        <v>rokprognozy=2029 i lp=31</v>
      </c>
      <c r="V34" s="37" t="str">
        <f t="shared" si="7"/>
        <v>rokprognozy=2030 i lp=31</v>
      </c>
      <c r="W34" s="37" t="str">
        <f t="shared" si="7"/>
        <v>rokprognozy=2031 i lp=31</v>
      </c>
      <c r="X34" s="37" t="str">
        <f t="shared" si="7"/>
        <v>rokprognozy=2032 i lp=31</v>
      </c>
      <c r="Y34" s="37" t="str">
        <f t="shared" si="7"/>
        <v>rokprognozy=2033 i lp=31</v>
      </c>
      <c r="Z34" s="37" t="str">
        <f t="shared" si="7"/>
        <v>rokprognozy=2034 i lp=31</v>
      </c>
      <c r="AA34" s="37" t="str">
        <f t="shared" si="7"/>
        <v>rokprognozy=2035 i lp=31</v>
      </c>
      <c r="AB34" s="37" t="str">
        <f t="shared" si="7"/>
        <v>rokprognozy=2036 i lp=31</v>
      </c>
      <c r="AC34" s="37" t="str">
        <f aca="true" t="shared" si="8" ref="AC34:AP52">+"rokprognozy="&amp;AC$3&amp;" i lp="&amp;$A34</f>
        <v>rokprognozy=2037 i lp=31</v>
      </c>
      <c r="AD34" s="37" t="str">
        <f t="shared" si="8"/>
        <v>rokprognozy=2038 i lp=31</v>
      </c>
      <c r="AE34" s="37" t="str">
        <f t="shared" si="8"/>
        <v>rokprognozy=2039 i lp=31</v>
      </c>
      <c r="AF34" s="37" t="str">
        <f t="shared" si="8"/>
        <v>rokprognozy=2040 i lp=31</v>
      </c>
      <c r="AG34" s="37" t="str">
        <f t="shared" si="8"/>
        <v>rokprognozy=2041 i lp=31</v>
      </c>
      <c r="AH34" s="37" t="str">
        <f t="shared" si="8"/>
        <v>rokprognozy=2042 i lp=31</v>
      </c>
      <c r="AI34" s="37" t="str">
        <f t="shared" si="8"/>
        <v>rokprognozy=2043 i lp=31</v>
      </c>
      <c r="AJ34" s="37" t="str">
        <f t="shared" si="8"/>
        <v>rokprognozy=2044 i lp=31</v>
      </c>
      <c r="AK34" s="37" t="str">
        <f t="shared" si="8"/>
        <v>rokprognozy=2045 i lp=31</v>
      </c>
      <c r="AL34" s="37" t="str">
        <f t="shared" si="8"/>
        <v>rokprognozy=2046 i lp=31</v>
      </c>
      <c r="AM34" s="37" t="str">
        <f t="shared" si="8"/>
        <v>rokprognozy=2047 i lp=31</v>
      </c>
      <c r="AN34" s="37" t="str">
        <f t="shared" si="8"/>
        <v>rokprognozy=2048 i lp=31</v>
      </c>
      <c r="AO34" s="37" t="str">
        <f t="shared" si="8"/>
        <v>rokprognozy=2049 i lp=31</v>
      </c>
      <c r="AP34" s="37" t="str">
        <f t="shared" si="8"/>
        <v>rokprognozy=2050 i lp=31</v>
      </c>
    </row>
    <row r="35" spans="1:42" ht="14.25">
      <c r="A35" s="8">
        <v>32</v>
      </c>
      <c r="B35" s="39">
        <v>12</v>
      </c>
      <c r="C35" s="48" t="s">
        <v>136</v>
      </c>
      <c r="D35" s="25" t="str">
        <f t="shared" si="6"/>
        <v>rokprognozy=2012 i lp=32</v>
      </c>
      <c r="E35" s="25" t="str">
        <f t="shared" si="6"/>
        <v>rokprognozy=2013 i lp=32</v>
      </c>
      <c r="F35" s="37" t="str">
        <f t="shared" si="6"/>
        <v>rokprognozy=2014 i lp=32</v>
      </c>
      <c r="G35" s="37" t="str">
        <f t="shared" si="6"/>
        <v>rokprognozy=2015 i lp=32</v>
      </c>
      <c r="H35" s="37" t="str">
        <f t="shared" si="6"/>
        <v>rokprognozy=2016 i lp=32</v>
      </c>
      <c r="I35" s="37" t="str">
        <f t="shared" si="6"/>
        <v>rokprognozy=2017 i lp=32</v>
      </c>
      <c r="J35" s="37" t="str">
        <f t="shared" si="6"/>
        <v>rokprognozy=2018 i lp=32</v>
      </c>
      <c r="K35" s="37" t="str">
        <f t="shared" si="6"/>
        <v>rokprognozy=2019 i lp=32</v>
      </c>
      <c r="L35" s="37" t="str">
        <f t="shared" si="6"/>
        <v>rokprognozy=2020 i lp=32</v>
      </c>
      <c r="M35" s="37" t="str">
        <f t="shared" si="7"/>
        <v>rokprognozy=2021 i lp=32</v>
      </c>
      <c r="N35" s="37" t="str">
        <f t="shared" si="7"/>
        <v>rokprognozy=2022 i lp=32</v>
      </c>
      <c r="O35" s="37" t="str">
        <f t="shared" si="7"/>
        <v>rokprognozy=2023 i lp=32</v>
      </c>
      <c r="P35" s="37" t="str">
        <f t="shared" si="7"/>
        <v>rokprognozy=2024 i lp=32</v>
      </c>
      <c r="Q35" s="37" t="str">
        <f t="shared" si="7"/>
        <v>rokprognozy=2025 i lp=32</v>
      </c>
      <c r="R35" s="37" t="str">
        <f t="shared" si="7"/>
        <v>rokprognozy=2026 i lp=32</v>
      </c>
      <c r="S35" s="37" t="str">
        <f t="shared" si="7"/>
        <v>rokprognozy=2027 i lp=32</v>
      </c>
      <c r="T35" s="37" t="str">
        <f t="shared" si="7"/>
        <v>rokprognozy=2028 i lp=32</v>
      </c>
      <c r="U35" s="37" t="str">
        <f t="shared" si="7"/>
        <v>rokprognozy=2029 i lp=32</v>
      </c>
      <c r="V35" s="37" t="str">
        <f t="shared" si="7"/>
        <v>rokprognozy=2030 i lp=32</v>
      </c>
      <c r="W35" s="37" t="str">
        <f t="shared" si="7"/>
        <v>rokprognozy=2031 i lp=32</v>
      </c>
      <c r="X35" s="37" t="str">
        <f t="shared" si="7"/>
        <v>rokprognozy=2032 i lp=32</v>
      </c>
      <c r="Y35" s="37" t="str">
        <f t="shared" si="7"/>
        <v>rokprognozy=2033 i lp=32</v>
      </c>
      <c r="Z35" s="37" t="str">
        <f t="shared" si="7"/>
        <v>rokprognozy=2034 i lp=32</v>
      </c>
      <c r="AA35" s="37" t="str">
        <f t="shared" si="7"/>
        <v>rokprognozy=2035 i lp=32</v>
      </c>
      <c r="AB35" s="37" t="str">
        <f t="shared" si="7"/>
        <v>rokprognozy=2036 i lp=32</v>
      </c>
      <c r="AC35" s="37" t="str">
        <f t="shared" si="8"/>
        <v>rokprognozy=2037 i lp=32</v>
      </c>
      <c r="AD35" s="37" t="str">
        <f t="shared" si="8"/>
        <v>rokprognozy=2038 i lp=32</v>
      </c>
      <c r="AE35" s="37" t="str">
        <f t="shared" si="8"/>
        <v>rokprognozy=2039 i lp=32</v>
      </c>
      <c r="AF35" s="37" t="str">
        <f t="shared" si="8"/>
        <v>rokprognozy=2040 i lp=32</v>
      </c>
      <c r="AG35" s="37" t="str">
        <f t="shared" si="8"/>
        <v>rokprognozy=2041 i lp=32</v>
      </c>
      <c r="AH35" s="37" t="str">
        <f t="shared" si="8"/>
        <v>rokprognozy=2042 i lp=32</v>
      </c>
      <c r="AI35" s="37" t="str">
        <f t="shared" si="8"/>
        <v>rokprognozy=2043 i lp=32</v>
      </c>
      <c r="AJ35" s="37" t="str">
        <f t="shared" si="8"/>
        <v>rokprognozy=2044 i lp=32</v>
      </c>
      <c r="AK35" s="37" t="str">
        <f t="shared" si="8"/>
        <v>rokprognozy=2045 i lp=32</v>
      </c>
      <c r="AL35" s="37" t="str">
        <f t="shared" si="8"/>
        <v>rokprognozy=2046 i lp=32</v>
      </c>
      <c r="AM35" s="37" t="str">
        <f t="shared" si="8"/>
        <v>rokprognozy=2047 i lp=32</v>
      </c>
      <c r="AN35" s="37" t="str">
        <f t="shared" si="8"/>
        <v>rokprognozy=2048 i lp=32</v>
      </c>
      <c r="AO35" s="37" t="str">
        <f t="shared" si="8"/>
        <v>rokprognozy=2049 i lp=32</v>
      </c>
      <c r="AP35" s="37" t="str">
        <f t="shared" si="8"/>
        <v>rokprognozy=2050 i lp=32</v>
      </c>
    </row>
    <row r="36" spans="1:42" ht="14.25">
      <c r="A36" s="8">
        <v>33</v>
      </c>
      <c r="B36" s="39">
        <v>13</v>
      </c>
      <c r="C36" s="48" t="s">
        <v>66</v>
      </c>
      <c r="D36" s="25" t="str">
        <f t="shared" si="6"/>
        <v>rokprognozy=2012 i lp=33</v>
      </c>
      <c r="E36" s="25" t="str">
        <f t="shared" si="6"/>
        <v>rokprognozy=2013 i lp=33</v>
      </c>
      <c r="F36" s="37" t="str">
        <f t="shared" si="6"/>
        <v>rokprognozy=2014 i lp=33</v>
      </c>
      <c r="G36" s="37" t="str">
        <f t="shared" si="6"/>
        <v>rokprognozy=2015 i lp=33</v>
      </c>
      <c r="H36" s="37" t="str">
        <f t="shared" si="6"/>
        <v>rokprognozy=2016 i lp=33</v>
      </c>
      <c r="I36" s="37" t="str">
        <f t="shared" si="6"/>
        <v>rokprognozy=2017 i lp=33</v>
      </c>
      <c r="J36" s="37" t="str">
        <f t="shared" si="6"/>
        <v>rokprognozy=2018 i lp=33</v>
      </c>
      <c r="K36" s="37" t="str">
        <f t="shared" si="6"/>
        <v>rokprognozy=2019 i lp=33</v>
      </c>
      <c r="L36" s="37" t="str">
        <f t="shared" si="6"/>
        <v>rokprognozy=2020 i lp=33</v>
      </c>
      <c r="M36" s="37" t="str">
        <f t="shared" si="7"/>
        <v>rokprognozy=2021 i lp=33</v>
      </c>
      <c r="N36" s="37" t="str">
        <f t="shared" si="7"/>
        <v>rokprognozy=2022 i lp=33</v>
      </c>
      <c r="O36" s="37" t="str">
        <f t="shared" si="7"/>
        <v>rokprognozy=2023 i lp=33</v>
      </c>
      <c r="P36" s="37" t="str">
        <f t="shared" si="7"/>
        <v>rokprognozy=2024 i lp=33</v>
      </c>
      <c r="Q36" s="37" t="str">
        <f t="shared" si="7"/>
        <v>rokprognozy=2025 i lp=33</v>
      </c>
      <c r="R36" s="37" t="str">
        <f t="shared" si="7"/>
        <v>rokprognozy=2026 i lp=33</v>
      </c>
      <c r="S36" s="37" t="str">
        <f t="shared" si="7"/>
        <v>rokprognozy=2027 i lp=33</v>
      </c>
      <c r="T36" s="37" t="str">
        <f t="shared" si="7"/>
        <v>rokprognozy=2028 i lp=33</v>
      </c>
      <c r="U36" s="37" t="str">
        <f t="shared" si="7"/>
        <v>rokprognozy=2029 i lp=33</v>
      </c>
      <c r="V36" s="37" t="str">
        <f t="shared" si="7"/>
        <v>rokprognozy=2030 i lp=33</v>
      </c>
      <c r="W36" s="37" t="str">
        <f t="shared" si="7"/>
        <v>rokprognozy=2031 i lp=33</v>
      </c>
      <c r="X36" s="37" t="str">
        <f t="shared" si="7"/>
        <v>rokprognozy=2032 i lp=33</v>
      </c>
      <c r="Y36" s="37" t="str">
        <f t="shared" si="7"/>
        <v>rokprognozy=2033 i lp=33</v>
      </c>
      <c r="Z36" s="37" t="str">
        <f t="shared" si="7"/>
        <v>rokprognozy=2034 i lp=33</v>
      </c>
      <c r="AA36" s="37" t="str">
        <f t="shared" si="7"/>
        <v>rokprognozy=2035 i lp=33</v>
      </c>
      <c r="AB36" s="37" t="str">
        <f t="shared" si="7"/>
        <v>rokprognozy=2036 i lp=33</v>
      </c>
      <c r="AC36" s="37" t="str">
        <f t="shared" si="8"/>
        <v>rokprognozy=2037 i lp=33</v>
      </c>
      <c r="AD36" s="37" t="str">
        <f t="shared" si="8"/>
        <v>rokprognozy=2038 i lp=33</v>
      </c>
      <c r="AE36" s="37" t="str">
        <f t="shared" si="8"/>
        <v>rokprognozy=2039 i lp=33</v>
      </c>
      <c r="AF36" s="37" t="str">
        <f t="shared" si="8"/>
        <v>rokprognozy=2040 i lp=33</v>
      </c>
      <c r="AG36" s="37" t="str">
        <f t="shared" si="8"/>
        <v>rokprognozy=2041 i lp=33</v>
      </c>
      <c r="AH36" s="37" t="str">
        <f t="shared" si="8"/>
        <v>rokprognozy=2042 i lp=33</v>
      </c>
      <c r="AI36" s="37" t="str">
        <f t="shared" si="8"/>
        <v>rokprognozy=2043 i lp=33</v>
      </c>
      <c r="AJ36" s="37" t="str">
        <f t="shared" si="8"/>
        <v>rokprognozy=2044 i lp=33</v>
      </c>
      <c r="AK36" s="37" t="str">
        <f t="shared" si="8"/>
        <v>rokprognozy=2045 i lp=33</v>
      </c>
      <c r="AL36" s="37" t="str">
        <f t="shared" si="8"/>
        <v>rokprognozy=2046 i lp=33</v>
      </c>
      <c r="AM36" s="37" t="str">
        <f t="shared" si="8"/>
        <v>rokprognozy=2047 i lp=33</v>
      </c>
      <c r="AN36" s="37" t="str">
        <f t="shared" si="8"/>
        <v>rokprognozy=2048 i lp=33</v>
      </c>
      <c r="AO36" s="37" t="str">
        <f t="shared" si="8"/>
        <v>rokprognozy=2049 i lp=33</v>
      </c>
      <c r="AP36" s="37" t="str">
        <f t="shared" si="8"/>
        <v>rokprognozy=2050 i lp=33</v>
      </c>
    </row>
    <row r="37" spans="1:42" ht="24">
      <c r="A37" s="8">
        <v>34</v>
      </c>
      <c r="B37" s="39" t="s">
        <v>137</v>
      </c>
      <c r="C37" s="48" t="s">
        <v>138</v>
      </c>
      <c r="D37" s="25" t="str">
        <f t="shared" si="6"/>
        <v>rokprognozy=2012 i lp=34</v>
      </c>
      <c r="E37" s="25" t="str">
        <f t="shared" si="6"/>
        <v>rokprognozy=2013 i lp=34</v>
      </c>
      <c r="F37" s="37" t="str">
        <f t="shared" si="6"/>
        <v>rokprognozy=2014 i lp=34</v>
      </c>
      <c r="G37" s="37" t="str">
        <f t="shared" si="6"/>
        <v>rokprognozy=2015 i lp=34</v>
      </c>
      <c r="H37" s="37" t="str">
        <f t="shared" si="6"/>
        <v>rokprognozy=2016 i lp=34</v>
      </c>
      <c r="I37" s="37" t="str">
        <f t="shared" si="6"/>
        <v>rokprognozy=2017 i lp=34</v>
      </c>
      <c r="J37" s="37" t="str">
        <f t="shared" si="6"/>
        <v>rokprognozy=2018 i lp=34</v>
      </c>
      <c r="K37" s="37" t="str">
        <f t="shared" si="6"/>
        <v>rokprognozy=2019 i lp=34</v>
      </c>
      <c r="L37" s="37" t="str">
        <f t="shared" si="6"/>
        <v>rokprognozy=2020 i lp=34</v>
      </c>
      <c r="M37" s="37" t="str">
        <f t="shared" si="7"/>
        <v>rokprognozy=2021 i lp=34</v>
      </c>
      <c r="N37" s="37" t="str">
        <f t="shared" si="7"/>
        <v>rokprognozy=2022 i lp=34</v>
      </c>
      <c r="O37" s="37" t="str">
        <f t="shared" si="7"/>
        <v>rokprognozy=2023 i lp=34</v>
      </c>
      <c r="P37" s="37" t="str">
        <f t="shared" si="7"/>
        <v>rokprognozy=2024 i lp=34</v>
      </c>
      <c r="Q37" s="37" t="str">
        <f t="shared" si="7"/>
        <v>rokprognozy=2025 i lp=34</v>
      </c>
      <c r="R37" s="37" t="str">
        <f t="shared" si="7"/>
        <v>rokprognozy=2026 i lp=34</v>
      </c>
      <c r="S37" s="37" t="str">
        <f t="shared" si="7"/>
        <v>rokprognozy=2027 i lp=34</v>
      </c>
      <c r="T37" s="37" t="str">
        <f t="shared" si="7"/>
        <v>rokprognozy=2028 i lp=34</v>
      </c>
      <c r="U37" s="37" t="str">
        <f t="shared" si="7"/>
        <v>rokprognozy=2029 i lp=34</v>
      </c>
      <c r="V37" s="37" t="str">
        <f t="shared" si="7"/>
        <v>rokprognozy=2030 i lp=34</v>
      </c>
      <c r="W37" s="37" t="str">
        <f t="shared" si="7"/>
        <v>rokprognozy=2031 i lp=34</v>
      </c>
      <c r="X37" s="37" t="str">
        <f t="shared" si="7"/>
        <v>rokprognozy=2032 i lp=34</v>
      </c>
      <c r="Y37" s="37" t="str">
        <f t="shared" si="7"/>
        <v>rokprognozy=2033 i lp=34</v>
      </c>
      <c r="Z37" s="37" t="str">
        <f t="shared" si="7"/>
        <v>rokprognozy=2034 i lp=34</v>
      </c>
      <c r="AA37" s="37" t="str">
        <f t="shared" si="7"/>
        <v>rokprognozy=2035 i lp=34</v>
      </c>
      <c r="AB37" s="37" t="str">
        <f t="shared" si="7"/>
        <v>rokprognozy=2036 i lp=34</v>
      </c>
      <c r="AC37" s="37" t="str">
        <f t="shared" si="8"/>
        <v>rokprognozy=2037 i lp=34</v>
      </c>
      <c r="AD37" s="37" t="str">
        <f t="shared" si="8"/>
        <v>rokprognozy=2038 i lp=34</v>
      </c>
      <c r="AE37" s="37" t="str">
        <f t="shared" si="8"/>
        <v>rokprognozy=2039 i lp=34</v>
      </c>
      <c r="AF37" s="37" t="str">
        <f t="shared" si="8"/>
        <v>rokprognozy=2040 i lp=34</v>
      </c>
      <c r="AG37" s="37" t="str">
        <f t="shared" si="8"/>
        <v>rokprognozy=2041 i lp=34</v>
      </c>
      <c r="AH37" s="37" t="str">
        <f t="shared" si="8"/>
        <v>rokprognozy=2042 i lp=34</v>
      </c>
      <c r="AI37" s="37" t="str">
        <f t="shared" si="8"/>
        <v>rokprognozy=2043 i lp=34</v>
      </c>
      <c r="AJ37" s="37" t="str">
        <f t="shared" si="8"/>
        <v>rokprognozy=2044 i lp=34</v>
      </c>
      <c r="AK37" s="37" t="str">
        <f t="shared" si="8"/>
        <v>rokprognozy=2045 i lp=34</v>
      </c>
      <c r="AL37" s="37" t="str">
        <f t="shared" si="8"/>
        <v>rokprognozy=2046 i lp=34</v>
      </c>
      <c r="AM37" s="37" t="str">
        <f t="shared" si="8"/>
        <v>rokprognozy=2047 i lp=34</v>
      </c>
      <c r="AN37" s="37" t="str">
        <f t="shared" si="8"/>
        <v>rokprognozy=2048 i lp=34</v>
      </c>
      <c r="AO37" s="37" t="str">
        <f t="shared" si="8"/>
        <v>rokprognozy=2049 i lp=34</v>
      </c>
      <c r="AP37" s="37" t="str">
        <f t="shared" si="8"/>
        <v>rokprognozy=2050 i lp=34</v>
      </c>
    </row>
    <row r="38" spans="1:42" ht="14.25">
      <c r="A38" s="8">
        <v>35</v>
      </c>
      <c r="B38" s="39">
        <v>14</v>
      </c>
      <c r="C38" s="48" t="s">
        <v>68</v>
      </c>
      <c r="D38" s="25" t="str">
        <f t="shared" si="6"/>
        <v>rokprognozy=2012 i lp=35</v>
      </c>
      <c r="E38" s="25" t="str">
        <f t="shared" si="6"/>
        <v>rokprognozy=2013 i lp=35</v>
      </c>
      <c r="F38" s="37" t="str">
        <f t="shared" si="6"/>
        <v>rokprognozy=2014 i lp=35</v>
      </c>
      <c r="G38" s="37" t="str">
        <f t="shared" si="6"/>
        <v>rokprognozy=2015 i lp=35</v>
      </c>
      <c r="H38" s="37" t="str">
        <f t="shared" si="6"/>
        <v>rokprognozy=2016 i lp=35</v>
      </c>
      <c r="I38" s="37" t="str">
        <f t="shared" si="6"/>
        <v>rokprognozy=2017 i lp=35</v>
      </c>
      <c r="J38" s="37" t="str">
        <f t="shared" si="6"/>
        <v>rokprognozy=2018 i lp=35</v>
      </c>
      <c r="K38" s="37" t="str">
        <f t="shared" si="6"/>
        <v>rokprognozy=2019 i lp=35</v>
      </c>
      <c r="L38" s="37" t="str">
        <f t="shared" si="6"/>
        <v>rokprognozy=2020 i lp=35</v>
      </c>
      <c r="M38" s="37" t="str">
        <f t="shared" si="7"/>
        <v>rokprognozy=2021 i lp=35</v>
      </c>
      <c r="N38" s="37" t="str">
        <f t="shared" si="7"/>
        <v>rokprognozy=2022 i lp=35</v>
      </c>
      <c r="O38" s="37" t="str">
        <f t="shared" si="7"/>
        <v>rokprognozy=2023 i lp=35</v>
      </c>
      <c r="P38" s="37" t="str">
        <f t="shared" si="7"/>
        <v>rokprognozy=2024 i lp=35</v>
      </c>
      <c r="Q38" s="37" t="str">
        <f t="shared" si="7"/>
        <v>rokprognozy=2025 i lp=35</v>
      </c>
      <c r="R38" s="37" t="str">
        <f t="shared" si="7"/>
        <v>rokprognozy=2026 i lp=35</v>
      </c>
      <c r="S38" s="37" t="str">
        <f t="shared" si="7"/>
        <v>rokprognozy=2027 i lp=35</v>
      </c>
      <c r="T38" s="37" t="str">
        <f t="shared" si="7"/>
        <v>rokprognozy=2028 i lp=35</v>
      </c>
      <c r="U38" s="37" t="str">
        <f t="shared" si="7"/>
        <v>rokprognozy=2029 i lp=35</v>
      </c>
      <c r="V38" s="37" t="str">
        <f t="shared" si="7"/>
        <v>rokprognozy=2030 i lp=35</v>
      </c>
      <c r="W38" s="37" t="str">
        <f t="shared" si="7"/>
        <v>rokprognozy=2031 i lp=35</v>
      </c>
      <c r="X38" s="37" t="str">
        <f t="shared" si="7"/>
        <v>rokprognozy=2032 i lp=35</v>
      </c>
      <c r="Y38" s="37" t="str">
        <f t="shared" si="7"/>
        <v>rokprognozy=2033 i lp=35</v>
      </c>
      <c r="Z38" s="37" t="str">
        <f t="shared" si="7"/>
        <v>rokprognozy=2034 i lp=35</v>
      </c>
      <c r="AA38" s="37" t="str">
        <f t="shared" si="7"/>
        <v>rokprognozy=2035 i lp=35</v>
      </c>
      <c r="AB38" s="37" t="str">
        <f t="shared" si="7"/>
        <v>rokprognozy=2036 i lp=35</v>
      </c>
      <c r="AC38" s="37" t="str">
        <f t="shared" si="8"/>
        <v>rokprognozy=2037 i lp=35</v>
      </c>
      <c r="AD38" s="37" t="str">
        <f t="shared" si="8"/>
        <v>rokprognozy=2038 i lp=35</v>
      </c>
      <c r="AE38" s="37" t="str">
        <f t="shared" si="8"/>
        <v>rokprognozy=2039 i lp=35</v>
      </c>
      <c r="AF38" s="37" t="str">
        <f t="shared" si="8"/>
        <v>rokprognozy=2040 i lp=35</v>
      </c>
      <c r="AG38" s="37" t="str">
        <f t="shared" si="8"/>
        <v>rokprognozy=2041 i lp=35</v>
      </c>
      <c r="AH38" s="37" t="str">
        <f t="shared" si="8"/>
        <v>rokprognozy=2042 i lp=35</v>
      </c>
      <c r="AI38" s="37" t="str">
        <f t="shared" si="8"/>
        <v>rokprognozy=2043 i lp=35</v>
      </c>
      <c r="AJ38" s="37" t="str">
        <f t="shared" si="8"/>
        <v>rokprognozy=2044 i lp=35</v>
      </c>
      <c r="AK38" s="37" t="str">
        <f t="shared" si="8"/>
        <v>rokprognozy=2045 i lp=35</v>
      </c>
      <c r="AL38" s="37" t="str">
        <f t="shared" si="8"/>
        <v>rokprognozy=2046 i lp=35</v>
      </c>
      <c r="AM38" s="37" t="str">
        <f t="shared" si="8"/>
        <v>rokprognozy=2047 i lp=35</v>
      </c>
      <c r="AN38" s="37" t="str">
        <f t="shared" si="8"/>
        <v>rokprognozy=2048 i lp=35</v>
      </c>
      <c r="AO38" s="37" t="str">
        <f t="shared" si="8"/>
        <v>rokprognozy=2049 i lp=35</v>
      </c>
      <c r="AP38" s="37" t="str">
        <f t="shared" si="8"/>
        <v>rokprognozy=2050 i lp=35</v>
      </c>
    </row>
    <row r="39" spans="1:42" ht="36">
      <c r="A39" s="8">
        <v>36</v>
      </c>
      <c r="B39" s="39">
        <v>15</v>
      </c>
      <c r="C39" s="48" t="s">
        <v>139</v>
      </c>
      <c r="D39" s="25" t="str">
        <f t="shared" si="6"/>
        <v>rokprognozy=2012 i lp=36</v>
      </c>
      <c r="E39" s="25" t="str">
        <f t="shared" si="6"/>
        <v>rokprognozy=2013 i lp=36</v>
      </c>
      <c r="F39" s="37" t="str">
        <f t="shared" si="6"/>
        <v>rokprognozy=2014 i lp=36</v>
      </c>
      <c r="G39" s="37" t="str">
        <f t="shared" si="6"/>
        <v>rokprognozy=2015 i lp=36</v>
      </c>
      <c r="H39" s="37" t="str">
        <f t="shared" si="6"/>
        <v>rokprognozy=2016 i lp=36</v>
      </c>
      <c r="I39" s="37" t="str">
        <f t="shared" si="6"/>
        <v>rokprognozy=2017 i lp=36</v>
      </c>
      <c r="J39" s="37" t="str">
        <f t="shared" si="6"/>
        <v>rokprognozy=2018 i lp=36</v>
      </c>
      <c r="K39" s="37" t="str">
        <f t="shared" si="6"/>
        <v>rokprognozy=2019 i lp=36</v>
      </c>
      <c r="L39" s="37" t="str">
        <f t="shared" si="6"/>
        <v>rokprognozy=2020 i lp=36</v>
      </c>
      <c r="M39" s="37" t="str">
        <f t="shared" si="7"/>
        <v>rokprognozy=2021 i lp=36</v>
      </c>
      <c r="N39" s="37" t="str">
        <f t="shared" si="7"/>
        <v>rokprognozy=2022 i lp=36</v>
      </c>
      <c r="O39" s="37" t="str">
        <f t="shared" si="7"/>
        <v>rokprognozy=2023 i lp=36</v>
      </c>
      <c r="P39" s="37" t="str">
        <f t="shared" si="7"/>
        <v>rokprognozy=2024 i lp=36</v>
      </c>
      <c r="Q39" s="37" t="str">
        <f t="shared" si="7"/>
        <v>rokprognozy=2025 i lp=36</v>
      </c>
      <c r="R39" s="37" t="str">
        <f t="shared" si="7"/>
        <v>rokprognozy=2026 i lp=36</v>
      </c>
      <c r="S39" s="37" t="str">
        <f t="shared" si="7"/>
        <v>rokprognozy=2027 i lp=36</v>
      </c>
      <c r="T39" s="37" t="str">
        <f t="shared" si="7"/>
        <v>rokprognozy=2028 i lp=36</v>
      </c>
      <c r="U39" s="37" t="str">
        <f t="shared" si="7"/>
        <v>rokprognozy=2029 i lp=36</v>
      </c>
      <c r="V39" s="37" t="str">
        <f t="shared" si="7"/>
        <v>rokprognozy=2030 i lp=36</v>
      </c>
      <c r="W39" s="37" t="str">
        <f t="shared" si="7"/>
        <v>rokprognozy=2031 i lp=36</v>
      </c>
      <c r="X39" s="37" t="str">
        <f t="shared" si="7"/>
        <v>rokprognozy=2032 i lp=36</v>
      </c>
      <c r="Y39" s="37" t="str">
        <f t="shared" si="7"/>
        <v>rokprognozy=2033 i lp=36</v>
      </c>
      <c r="Z39" s="37" t="str">
        <f t="shared" si="7"/>
        <v>rokprognozy=2034 i lp=36</v>
      </c>
      <c r="AA39" s="37" t="str">
        <f t="shared" si="7"/>
        <v>rokprognozy=2035 i lp=36</v>
      </c>
      <c r="AB39" s="37" t="str">
        <f t="shared" si="7"/>
        <v>rokprognozy=2036 i lp=36</v>
      </c>
      <c r="AC39" s="37" t="str">
        <f t="shared" si="8"/>
        <v>rokprognozy=2037 i lp=36</v>
      </c>
      <c r="AD39" s="37" t="str">
        <f t="shared" si="8"/>
        <v>rokprognozy=2038 i lp=36</v>
      </c>
      <c r="AE39" s="37" t="str">
        <f t="shared" si="8"/>
        <v>rokprognozy=2039 i lp=36</v>
      </c>
      <c r="AF39" s="37" t="str">
        <f t="shared" si="8"/>
        <v>rokprognozy=2040 i lp=36</v>
      </c>
      <c r="AG39" s="37" t="str">
        <f t="shared" si="8"/>
        <v>rokprognozy=2041 i lp=36</v>
      </c>
      <c r="AH39" s="37" t="str">
        <f t="shared" si="8"/>
        <v>rokprognozy=2042 i lp=36</v>
      </c>
      <c r="AI39" s="37" t="str">
        <f t="shared" si="8"/>
        <v>rokprognozy=2043 i lp=36</v>
      </c>
      <c r="AJ39" s="37" t="str">
        <f t="shared" si="8"/>
        <v>rokprognozy=2044 i lp=36</v>
      </c>
      <c r="AK39" s="37" t="str">
        <f t="shared" si="8"/>
        <v>rokprognozy=2045 i lp=36</v>
      </c>
      <c r="AL39" s="37" t="str">
        <f t="shared" si="8"/>
        <v>rokprognozy=2046 i lp=36</v>
      </c>
      <c r="AM39" s="37" t="str">
        <f t="shared" si="8"/>
        <v>rokprognozy=2047 i lp=36</v>
      </c>
      <c r="AN39" s="37" t="str">
        <f t="shared" si="8"/>
        <v>rokprognozy=2048 i lp=36</v>
      </c>
      <c r="AO39" s="37" t="str">
        <f t="shared" si="8"/>
        <v>rokprognozy=2049 i lp=36</v>
      </c>
      <c r="AP39" s="37" t="str">
        <f t="shared" si="8"/>
        <v>rokprognozy=2050 i lp=36</v>
      </c>
    </row>
    <row r="40" spans="1:42" ht="24">
      <c r="A40" s="8">
        <v>37</v>
      </c>
      <c r="B40" s="39">
        <v>16</v>
      </c>
      <c r="C40" s="48" t="s">
        <v>140</v>
      </c>
      <c r="D40" s="25" t="str">
        <f t="shared" si="6"/>
        <v>rokprognozy=2012 i lp=37</v>
      </c>
      <c r="E40" s="25" t="str">
        <f t="shared" si="6"/>
        <v>rokprognozy=2013 i lp=37</v>
      </c>
      <c r="F40" s="37" t="str">
        <f t="shared" si="6"/>
        <v>rokprognozy=2014 i lp=37</v>
      </c>
      <c r="G40" s="37" t="str">
        <f t="shared" si="6"/>
        <v>rokprognozy=2015 i lp=37</v>
      </c>
      <c r="H40" s="37" t="str">
        <f t="shared" si="6"/>
        <v>rokprognozy=2016 i lp=37</v>
      </c>
      <c r="I40" s="37" t="str">
        <f t="shared" si="6"/>
        <v>rokprognozy=2017 i lp=37</v>
      </c>
      <c r="J40" s="37" t="str">
        <f t="shared" si="6"/>
        <v>rokprognozy=2018 i lp=37</v>
      </c>
      <c r="K40" s="37" t="str">
        <f t="shared" si="6"/>
        <v>rokprognozy=2019 i lp=37</v>
      </c>
      <c r="L40" s="37" t="str">
        <f t="shared" si="6"/>
        <v>rokprognozy=2020 i lp=37</v>
      </c>
      <c r="M40" s="37" t="str">
        <f t="shared" si="7"/>
        <v>rokprognozy=2021 i lp=37</v>
      </c>
      <c r="N40" s="37" t="str">
        <f t="shared" si="7"/>
        <v>rokprognozy=2022 i lp=37</v>
      </c>
      <c r="O40" s="37" t="str">
        <f t="shared" si="7"/>
        <v>rokprognozy=2023 i lp=37</v>
      </c>
      <c r="P40" s="37" t="str">
        <f t="shared" si="7"/>
        <v>rokprognozy=2024 i lp=37</v>
      </c>
      <c r="Q40" s="37" t="str">
        <f t="shared" si="7"/>
        <v>rokprognozy=2025 i lp=37</v>
      </c>
      <c r="R40" s="37" t="str">
        <f t="shared" si="7"/>
        <v>rokprognozy=2026 i lp=37</v>
      </c>
      <c r="S40" s="37" t="str">
        <f t="shared" si="7"/>
        <v>rokprognozy=2027 i lp=37</v>
      </c>
      <c r="T40" s="37" t="str">
        <f t="shared" si="7"/>
        <v>rokprognozy=2028 i lp=37</v>
      </c>
      <c r="U40" s="37" t="str">
        <f t="shared" si="7"/>
        <v>rokprognozy=2029 i lp=37</v>
      </c>
      <c r="V40" s="37" t="str">
        <f t="shared" si="7"/>
        <v>rokprognozy=2030 i lp=37</v>
      </c>
      <c r="W40" s="37" t="str">
        <f t="shared" si="7"/>
        <v>rokprognozy=2031 i lp=37</v>
      </c>
      <c r="X40" s="37" t="str">
        <f t="shared" si="7"/>
        <v>rokprognozy=2032 i lp=37</v>
      </c>
      <c r="Y40" s="37" t="str">
        <f t="shared" si="7"/>
        <v>rokprognozy=2033 i lp=37</v>
      </c>
      <c r="Z40" s="37" t="str">
        <f t="shared" si="7"/>
        <v>rokprognozy=2034 i lp=37</v>
      </c>
      <c r="AA40" s="37" t="str">
        <f t="shared" si="7"/>
        <v>rokprognozy=2035 i lp=37</v>
      </c>
      <c r="AB40" s="37" t="str">
        <f t="shared" si="7"/>
        <v>rokprognozy=2036 i lp=37</v>
      </c>
      <c r="AC40" s="37" t="str">
        <f t="shared" si="8"/>
        <v>rokprognozy=2037 i lp=37</v>
      </c>
      <c r="AD40" s="37" t="str">
        <f t="shared" si="8"/>
        <v>rokprognozy=2038 i lp=37</v>
      </c>
      <c r="AE40" s="37" t="str">
        <f t="shared" si="8"/>
        <v>rokprognozy=2039 i lp=37</v>
      </c>
      <c r="AF40" s="37" t="str">
        <f t="shared" si="8"/>
        <v>rokprognozy=2040 i lp=37</v>
      </c>
      <c r="AG40" s="37" t="str">
        <f t="shared" si="8"/>
        <v>rokprognozy=2041 i lp=37</v>
      </c>
      <c r="AH40" s="37" t="str">
        <f t="shared" si="8"/>
        <v>rokprognozy=2042 i lp=37</v>
      </c>
      <c r="AI40" s="37" t="str">
        <f t="shared" si="8"/>
        <v>rokprognozy=2043 i lp=37</v>
      </c>
      <c r="AJ40" s="37" t="str">
        <f t="shared" si="8"/>
        <v>rokprognozy=2044 i lp=37</v>
      </c>
      <c r="AK40" s="37" t="str">
        <f t="shared" si="8"/>
        <v>rokprognozy=2045 i lp=37</v>
      </c>
      <c r="AL40" s="37" t="str">
        <f t="shared" si="8"/>
        <v>rokprognozy=2046 i lp=37</v>
      </c>
      <c r="AM40" s="37" t="str">
        <f t="shared" si="8"/>
        <v>rokprognozy=2047 i lp=37</v>
      </c>
      <c r="AN40" s="37" t="str">
        <f t="shared" si="8"/>
        <v>rokprognozy=2048 i lp=37</v>
      </c>
      <c r="AO40" s="37" t="str">
        <f t="shared" si="8"/>
        <v>rokprognozy=2049 i lp=37</v>
      </c>
      <c r="AP40" s="37" t="str">
        <f t="shared" si="8"/>
        <v>rokprognozy=2050 i lp=37</v>
      </c>
    </row>
    <row r="41" spans="1:42" ht="14.25">
      <c r="A41" s="8">
        <v>38</v>
      </c>
      <c r="B41" s="39">
        <v>17</v>
      </c>
      <c r="C41" s="48" t="s">
        <v>91</v>
      </c>
      <c r="D41" s="25" t="str">
        <f t="shared" si="6"/>
        <v>rokprognozy=2012 i lp=38</v>
      </c>
      <c r="E41" s="25" t="str">
        <f t="shared" si="6"/>
        <v>rokprognozy=2013 i lp=38</v>
      </c>
      <c r="F41" s="37" t="str">
        <f t="shared" si="6"/>
        <v>rokprognozy=2014 i lp=38</v>
      </c>
      <c r="G41" s="37" t="str">
        <f t="shared" si="6"/>
        <v>rokprognozy=2015 i lp=38</v>
      </c>
      <c r="H41" s="37" t="str">
        <f t="shared" si="6"/>
        <v>rokprognozy=2016 i lp=38</v>
      </c>
      <c r="I41" s="37" t="str">
        <f t="shared" si="6"/>
        <v>rokprognozy=2017 i lp=38</v>
      </c>
      <c r="J41" s="37" t="str">
        <f t="shared" si="6"/>
        <v>rokprognozy=2018 i lp=38</v>
      </c>
      <c r="K41" s="37" t="str">
        <f t="shared" si="6"/>
        <v>rokprognozy=2019 i lp=38</v>
      </c>
      <c r="L41" s="37" t="str">
        <f t="shared" si="6"/>
        <v>rokprognozy=2020 i lp=38</v>
      </c>
      <c r="M41" s="37" t="str">
        <f t="shared" si="7"/>
        <v>rokprognozy=2021 i lp=38</v>
      </c>
      <c r="N41" s="37" t="str">
        <f t="shared" si="7"/>
        <v>rokprognozy=2022 i lp=38</v>
      </c>
      <c r="O41" s="37" t="str">
        <f t="shared" si="7"/>
        <v>rokprognozy=2023 i lp=38</v>
      </c>
      <c r="P41" s="37" t="str">
        <f t="shared" si="7"/>
        <v>rokprognozy=2024 i lp=38</v>
      </c>
      <c r="Q41" s="37" t="str">
        <f t="shared" si="7"/>
        <v>rokprognozy=2025 i lp=38</v>
      </c>
      <c r="R41" s="37" t="str">
        <f t="shared" si="7"/>
        <v>rokprognozy=2026 i lp=38</v>
      </c>
      <c r="S41" s="37" t="str">
        <f t="shared" si="7"/>
        <v>rokprognozy=2027 i lp=38</v>
      </c>
      <c r="T41" s="37" t="str">
        <f t="shared" si="7"/>
        <v>rokprognozy=2028 i lp=38</v>
      </c>
      <c r="U41" s="37" t="str">
        <f t="shared" si="7"/>
        <v>rokprognozy=2029 i lp=38</v>
      </c>
      <c r="V41" s="37" t="str">
        <f t="shared" si="7"/>
        <v>rokprognozy=2030 i lp=38</v>
      </c>
      <c r="W41" s="37" t="str">
        <f t="shared" si="7"/>
        <v>rokprognozy=2031 i lp=38</v>
      </c>
      <c r="X41" s="37" t="str">
        <f t="shared" si="7"/>
        <v>rokprognozy=2032 i lp=38</v>
      </c>
      <c r="Y41" s="37" t="str">
        <f t="shared" si="7"/>
        <v>rokprognozy=2033 i lp=38</v>
      </c>
      <c r="Z41" s="37" t="str">
        <f t="shared" si="7"/>
        <v>rokprognozy=2034 i lp=38</v>
      </c>
      <c r="AA41" s="37" t="str">
        <f t="shared" si="7"/>
        <v>rokprognozy=2035 i lp=38</v>
      </c>
      <c r="AB41" s="37" t="str">
        <f t="shared" si="7"/>
        <v>rokprognozy=2036 i lp=38</v>
      </c>
      <c r="AC41" s="37" t="str">
        <f t="shared" si="8"/>
        <v>rokprognozy=2037 i lp=38</v>
      </c>
      <c r="AD41" s="37" t="str">
        <f t="shared" si="8"/>
        <v>rokprognozy=2038 i lp=38</v>
      </c>
      <c r="AE41" s="37" t="str">
        <f t="shared" si="8"/>
        <v>rokprognozy=2039 i lp=38</v>
      </c>
      <c r="AF41" s="37" t="str">
        <f t="shared" si="8"/>
        <v>rokprognozy=2040 i lp=38</v>
      </c>
      <c r="AG41" s="37" t="str">
        <f t="shared" si="8"/>
        <v>rokprognozy=2041 i lp=38</v>
      </c>
      <c r="AH41" s="37" t="str">
        <f t="shared" si="8"/>
        <v>rokprognozy=2042 i lp=38</v>
      </c>
      <c r="AI41" s="37" t="str">
        <f t="shared" si="8"/>
        <v>rokprognozy=2043 i lp=38</v>
      </c>
      <c r="AJ41" s="37" t="str">
        <f t="shared" si="8"/>
        <v>rokprognozy=2044 i lp=38</v>
      </c>
      <c r="AK41" s="37" t="str">
        <f t="shared" si="8"/>
        <v>rokprognozy=2045 i lp=38</v>
      </c>
      <c r="AL41" s="37" t="str">
        <f t="shared" si="8"/>
        <v>rokprognozy=2046 i lp=38</v>
      </c>
      <c r="AM41" s="37" t="str">
        <f t="shared" si="8"/>
        <v>rokprognozy=2047 i lp=38</v>
      </c>
      <c r="AN41" s="37" t="str">
        <f t="shared" si="8"/>
        <v>rokprognozy=2048 i lp=38</v>
      </c>
      <c r="AO41" s="37" t="str">
        <f t="shared" si="8"/>
        <v>rokprognozy=2049 i lp=38</v>
      </c>
      <c r="AP41" s="37" t="str">
        <f t="shared" si="8"/>
        <v>rokprognozy=2050 i lp=38</v>
      </c>
    </row>
    <row r="42" spans="1:42" ht="14.25">
      <c r="A42" s="8">
        <v>39</v>
      </c>
      <c r="B42" s="39" t="s">
        <v>141</v>
      </c>
      <c r="C42" s="48" t="s">
        <v>142</v>
      </c>
      <c r="D42" s="25" t="str">
        <f t="shared" si="6"/>
        <v>rokprognozy=2012 i lp=39</v>
      </c>
      <c r="E42" s="25" t="str">
        <f t="shared" si="6"/>
        <v>rokprognozy=2013 i lp=39</v>
      </c>
      <c r="F42" s="37" t="str">
        <f t="shared" si="6"/>
        <v>rokprognozy=2014 i lp=39</v>
      </c>
      <c r="G42" s="37" t="str">
        <f t="shared" si="6"/>
        <v>rokprognozy=2015 i lp=39</v>
      </c>
      <c r="H42" s="37" t="str">
        <f t="shared" si="6"/>
        <v>rokprognozy=2016 i lp=39</v>
      </c>
      <c r="I42" s="37" t="str">
        <f t="shared" si="6"/>
        <v>rokprognozy=2017 i lp=39</v>
      </c>
      <c r="J42" s="37" t="str">
        <f t="shared" si="6"/>
        <v>rokprognozy=2018 i lp=39</v>
      </c>
      <c r="K42" s="37" t="str">
        <f t="shared" si="6"/>
        <v>rokprognozy=2019 i lp=39</v>
      </c>
      <c r="L42" s="37" t="str">
        <f t="shared" si="6"/>
        <v>rokprognozy=2020 i lp=39</v>
      </c>
      <c r="M42" s="37" t="str">
        <f t="shared" si="7"/>
        <v>rokprognozy=2021 i lp=39</v>
      </c>
      <c r="N42" s="37" t="str">
        <f t="shared" si="7"/>
        <v>rokprognozy=2022 i lp=39</v>
      </c>
      <c r="O42" s="37" t="str">
        <f t="shared" si="7"/>
        <v>rokprognozy=2023 i lp=39</v>
      </c>
      <c r="P42" s="37" t="str">
        <f t="shared" si="7"/>
        <v>rokprognozy=2024 i lp=39</v>
      </c>
      <c r="Q42" s="37" t="str">
        <f t="shared" si="7"/>
        <v>rokprognozy=2025 i lp=39</v>
      </c>
      <c r="R42" s="37" t="str">
        <f t="shared" si="7"/>
        <v>rokprognozy=2026 i lp=39</v>
      </c>
      <c r="S42" s="37" t="str">
        <f t="shared" si="7"/>
        <v>rokprognozy=2027 i lp=39</v>
      </c>
      <c r="T42" s="37" t="str">
        <f t="shared" si="7"/>
        <v>rokprognozy=2028 i lp=39</v>
      </c>
      <c r="U42" s="37" t="str">
        <f t="shared" si="7"/>
        <v>rokprognozy=2029 i lp=39</v>
      </c>
      <c r="V42" s="37" t="str">
        <f t="shared" si="7"/>
        <v>rokprognozy=2030 i lp=39</v>
      </c>
      <c r="W42" s="37" t="str">
        <f t="shared" si="7"/>
        <v>rokprognozy=2031 i lp=39</v>
      </c>
      <c r="X42" s="37" t="str">
        <f t="shared" si="7"/>
        <v>rokprognozy=2032 i lp=39</v>
      </c>
      <c r="Y42" s="37" t="str">
        <f t="shared" si="7"/>
        <v>rokprognozy=2033 i lp=39</v>
      </c>
      <c r="Z42" s="37" t="str">
        <f t="shared" si="7"/>
        <v>rokprognozy=2034 i lp=39</v>
      </c>
      <c r="AA42" s="37" t="str">
        <f t="shared" si="7"/>
        <v>rokprognozy=2035 i lp=39</v>
      </c>
      <c r="AB42" s="37" t="str">
        <f t="shared" si="7"/>
        <v>rokprognozy=2036 i lp=39</v>
      </c>
      <c r="AC42" s="37" t="str">
        <f t="shared" si="8"/>
        <v>rokprognozy=2037 i lp=39</v>
      </c>
      <c r="AD42" s="37" t="str">
        <f t="shared" si="8"/>
        <v>rokprognozy=2038 i lp=39</v>
      </c>
      <c r="AE42" s="37" t="str">
        <f t="shared" si="8"/>
        <v>rokprognozy=2039 i lp=39</v>
      </c>
      <c r="AF42" s="37" t="str">
        <f t="shared" si="8"/>
        <v>rokprognozy=2040 i lp=39</v>
      </c>
      <c r="AG42" s="37" t="str">
        <f t="shared" si="8"/>
        <v>rokprognozy=2041 i lp=39</v>
      </c>
      <c r="AH42" s="37" t="str">
        <f t="shared" si="8"/>
        <v>rokprognozy=2042 i lp=39</v>
      </c>
      <c r="AI42" s="37" t="str">
        <f t="shared" si="8"/>
        <v>rokprognozy=2043 i lp=39</v>
      </c>
      <c r="AJ42" s="37" t="str">
        <f t="shared" si="8"/>
        <v>rokprognozy=2044 i lp=39</v>
      </c>
      <c r="AK42" s="37" t="str">
        <f t="shared" si="8"/>
        <v>rokprognozy=2045 i lp=39</v>
      </c>
      <c r="AL42" s="37" t="str">
        <f t="shared" si="8"/>
        <v>rokprognozy=2046 i lp=39</v>
      </c>
      <c r="AM42" s="37" t="str">
        <f t="shared" si="8"/>
        <v>rokprognozy=2047 i lp=39</v>
      </c>
      <c r="AN42" s="37" t="str">
        <f t="shared" si="8"/>
        <v>rokprognozy=2048 i lp=39</v>
      </c>
      <c r="AO42" s="37" t="str">
        <f t="shared" si="8"/>
        <v>rokprognozy=2049 i lp=39</v>
      </c>
      <c r="AP42" s="37" t="str">
        <f t="shared" si="8"/>
        <v>rokprognozy=2050 i lp=39</v>
      </c>
    </row>
    <row r="43" spans="1:42" ht="14.25">
      <c r="A43" s="8">
        <v>40</v>
      </c>
      <c r="B43" s="39">
        <v>18</v>
      </c>
      <c r="C43" s="48" t="s">
        <v>69</v>
      </c>
      <c r="D43" s="25" t="str">
        <f t="shared" si="6"/>
        <v>rokprognozy=2012 i lp=40</v>
      </c>
      <c r="E43" s="25" t="str">
        <f t="shared" si="6"/>
        <v>rokprognozy=2013 i lp=40</v>
      </c>
      <c r="F43" s="37" t="str">
        <f t="shared" si="6"/>
        <v>rokprognozy=2014 i lp=40</v>
      </c>
      <c r="G43" s="37" t="str">
        <f t="shared" si="6"/>
        <v>rokprognozy=2015 i lp=40</v>
      </c>
      <c r="H43" s="37" t="str">
        <f t="shared" si="6"/>
        <v>rokprognozy=2016 i lp=40</v>
      </c>
      <c r="I43" s="37" t="str">
        <f t="shared" si="6"/>
        <v>rokprognozy=2017 i lp=40</v>
      </c>
      <c r="J43" s="37" t="str">
        <f t="shared" si="6"/>
        <v>rokprognozy=2018 i lp=40</v>
      </c>
      <c r="K43" s="37" t="str">
        <f t="shared" si="6"/>
        <v>rokprognozy=2019 i lp=40</v>
      </c>
      <c r="L43" s="37" t="str">
        <f t="shared" si="6"/>
        <v>rokprognozy=2020 i lp=40</v>
      </c>
      <c r="M43" s="37" t="str">
        <f t="shared" si="7"/>
        <v>rokprognozy=2021 i lp=40</v>
      </c>
      <c r="N43" s="37" t="str">
        <f t="shared" si="7"/>
        <v>rokprognozy=2022 i lp=40</v>
      </c>
      <c r="O43" s="37" t="str">
        <f t="shared" si="7"/>
        <v>rokprognozy=2023 i lp=40</v>
      </c>
      <c r="P43" s="37" t="str">
        <f t="shared" si="7"/>
        <v>rokprognozy=2024 i lp=40</v>
      </c>
      <c r="Q43" s="37" t="str">
        <f t="shared" si="7"/>
        <v>rokprognozy=2025 i lp=40</v>
      </c>
      <c r="R43" s="37" t="str">
        <f t="shared" si="7"/>
        <v>rokprognozy=2026 i lp=40</v>
      </c>
      <c r="S43" s="37" t="str">
        <f t="shared" si="7"/>
        <v>rokprognozy=2027 i lp=40</v>
      </c>
      <c r="T43" s="37" t="str">
        <f t="shared" si="7"/>
        <v>rokprognozy=2028 i lp=40</v>
      </c>
      <c r="U43" s="37" t="str">
        <f t="shared" si="7"/>
        <v>rokprognozy=2029 i lp=40</v>
      </c>
      <c r="V43" s="37" t="str">
        <f t="shared" si="7"/>
        <v>rokprognozy=2030 i lp=40</v>
      </c>
      <c r="W43" s="37" t="str">
        <f t="shared" si="7"/>
        <v>rokprognozy=2031 i lp=40</v>
      </c>
      <c r="X43" s="37" t="str">
        <f t="shared" si="7"/>
        <v>rokprognozy=2032 i lp=40</v>
      </c>
      <c r="Y43" s="37" t="str">
        <f t="shared" si="7"/>
        <v>rokprognozy=2033 i lp=40</v>
      </c>
      <c r="Z43" s="37" t="str">
        <f t="shared" si="7"/>
        <v>rokprognozy=2034 i lp=40</v>
      </c>
      <c r="AA43" s="37" t="str">
        <f t="shared" si="7"/>
        <v>rokprognozy=2035 i lp=40</v>
      </c>
      <c r="AB43" s="37" t="str">
        <f t="shared" si="7"/>
        <v>rokprognozy=2036 i lp=40</v>
      </c>
      <c r="AC43" s="37" t="str">
        <f t="shared" si="8"/>
        <v>rokprognozy=2037 i lp=40</v>
      </c>
      <c r="AD43" s="37" t="str">
        <f t="shared" si="8"/>
        <v>rokprognozy=2038 i lp=40</v>
      </c>
      <c r="AE43" s="37" t="str">
        <f t="shared" si="8"/>
        <v>rokprognozy=2039 i lp=40</v>
      </c>
      <c r="AF43" s="37" t="str">
        <f t="shared" si="8"/>
        <v>rokprognozy=2040 i lp=40</v>
      </c>
      <c r="AG43" s="37" t="str">
        <f t="shared" si="8"/>
        <v>rokprognozy=2041 i lp=40</v>
      </c>
      <c r="AH43" s="37" t="str">
        <f t="shared" si="8"/>
        <v>rokprognozy=2042 i lp=40</v>
      </c>
      <c r="AI43" s="37" t="str">
        <f t="shared" si="8"/>
        <v>rokprognozy=2043 i lp=40</v>
      </c>
      <c r="AJ43" s="37" t="str">
        <f t="shared" si="8"/>
        <v>rokprognozy=2044 i lp=40</v>
      </c>
      <c r="AK43" s="37" t="str">
        <f t="shared" si="8"/>
        <v>rokprognozy=2045 i lp=40</v>
      </c>
      <c r="AL43" s="37" t="str">
        <f t="shared" si="8"/>
        <v>rokprognozy=2046 i lp=40</v>
      </c>
      <c r="AM43" s="37" t="str">
        <f t="shared" si="8"/>
        <v>rokprognozy=2047 i lp=40</v>
      </c>
      <c r="AN43" s="37" t="str">
        <f t="shared" si="8"/>
        <v>rokprognozy=2048 i lp=40</v>
      </c>
      <c r="AO43" s="37" t="str">
        <f t="shared" si="8"/>
        <v>rokprognozy=2049 i lp=40</v>
      </c>
      <c r="AP43" s="37" t="str">
        <f t="shared" si="8"/>
        <v>rokprognozy=2050 i lp=40</v>
      </c>
    </row>
    <row r="44" spans="1:42" ht="24">
      <c r="A44" s="8">
        <v>41</v>
      </c>
      <c r="B44" s="39" t="s">
        <v>143</v>
      </c>
      <c r="C44" s="48" t="s">
        <v>71</v>
      </c>
      <c r="D44" s="25" t="str">
        <f t="shared" si="6"/>
        <v>rokprognozy=2012 i lp=41</v>
      </c>
      <c r="E44" s="25" t="str">
        <f t="shared" si="6"/>
        <v>rokprognozy=2013 i lp=41</v>
      </c>
      <c r="F44" s="37" t="str">
        <f t="shared" si="6"/>
        <v>rokprognozy=2014 i lp=41</v>
      </c>
      <c r="G44" s="37" t="str">
        <f t="shared" si="6"/>
        <v>rokprognozy=2015 i lp=41</v>
      </c>
      <c r="H44" s="37" t="str">
        <f t="shared" si="6"/>
        <v>rokprognozy=2016 i lp=41</v>
      </c>
      <c r="I44" s="37" t="str">
        <f t="shared" si="6"/>
        <v>rokprognozy=2017 i lp=41</v>
      </c>
      <c r="J44" s="37" t="str">
        <f t="shared" si="6"/>
        <v>rokprognozy=2018 i lp=41</v>
      </c>
      <c r="K44" s="37" t="str">
        <f t="shared" si="6"/>
        <v>rokprognozy=2019 i lp=41</v>
      </c>
      <c r="L44" s="37" t="str">
        <f t="shared" si="6"/>
        <v>rokprognozy=2020 i lp=41</v>
      </c>
      <c r="M44" s="37" t="str">
        <f t="shared" si="7"/>
        <v>rokprognozy=2021 i lp=41</v>
      </c>
      <c r="N44" s="37" t="str">
        <f t="shared" si="7"/>
        <v>rokprognozy=2022 i lp=41</v>
      </c>
      <c r="O44" s="37" t="str">
        <f t="shared" si="7"/>
        <v>rokprognozy=2023 i lp=41</v>
      </c>
      <c r="P44" s="37" t="str">
        <f t="shared" si="7"/>
        <v>rokprognozy=2024 i lp=41</v>
      </c>
      <c r="Q44" s="37" t="str">
        <f t="shared" si="7"/>
        <v>rokprognozy=2025 i lp=41</v>
      </c>
      <c r="R44" s="37" t="str">
        <f t="shared" si="7"/>
        <v>rokprognozy=2026 i lp=41</v>
      </c>
      <c r="S44" s="37" t="str">
        <f t="shared" si="7"/>
        <v>rokprognozy=2027 i lp=41</v>
      </c>
      <c r="T44" s="37" t="str">
        <f t="shared" si="7"/>
        <v>rokprognozy=2028 i lp=41</v>
      </c>
      <c r="U44" s="37" t="str">
        <f t="shared" si="7"/>
        <v>rokprognozy=2029 i lp=41</v>
      </c>
      <c r="V44" s="37" t="str">
        <f t="shared" si="7"/>
        <v>rokprognozy=2030 i lp=41</v>
      </c>
      <c r="W44" s="37" t="str">
        <f t="shared" si="7"/>
        <v>rokprognozy=2031 i lp=41</v>
      </c>
      <c r="X44" s="37" t="str">
        <f t="shared" si="7"/>
        <v>rokprognozy=2032 i lp=41</v>
      </c>
      <c r="Y44" s="37" t="str">
        <f t="shared" si="7"/>
        <v>rokprognozy=2033 i lp=41</v>
      </c>
      <c r="Z44" s="37" t="str">
        <f t="shared" si="7"/>
        <v>rokprognozy=2034 i lp=41</v>
      </c>
      <c r="AA44" s="37" t="str">
        <f t="shared" si="7"/>
        <v>rokprognozy=2035 i lp=41</v>
      </c>
      <c r="AB44" s="37" t="str">
        <f t="shared" si="7"/>
        <v>rokprognozy=2036 i lp=41</v>
      </c>
      <c r="AC44" s="37" t="str">
        <f t="shared" si="8"/>
        <v>rokprognozy=2037 i lp=41</v>
      </c>
      <c r="AD44" s="37" t="str">
        <f t="shared" si="8"/>
        <v>rokprognozy=2038 i lp=41</v>
      </c>
      <c r="AE44" s="37" t="str">
        <f t="shared" si="8"/>
        <v>rokprognozy=2039 i lp=41</v>
      </c>
      <c r="AF44" s="37" t="str">
        <f t="shared" si="8"/>
        <v>rokprognozy=2040 i lp=41</v>
      </c>
      <c r="AG44" s="37" t="str">
        <f t="shared" si="8"/>
        <v>rokprognozy=2041 i lp=41</v>
      </c>
      <c r="AH44" s="37" t="str">
        <f t="shared" si="8"/>
        <v>rokprognozy=2042 i lp=41</v>
      </c>
      <c r="AI44" s="37" t="str">
        <f t="shared" si="8"/>
        <v>rokprognozy=2043 i lp=41</v>
      </c>
      <c r="AJ44" s="37" t="str">
        <f t="shared" si="8"/>
        <v>rokprognozy=2044 i lp=41</v>
      </c>
      <c r="AK44" s="37" t="str">
        <f t="shared" si="8"/>
        <v>rokprognozy=2045 i lp=41</v>
      </c>
      <c r="AL44" s="37" t="str">
        <f t="shared" si="8"/>
        <v>rokprognozy=2046 i lp=41</v>
      </c>
      <c r="AM44" s="37" t="str">
        <f t="shared" si="8"/>
        <v>rokprognozy=2047 i lp=41</v>
      </c>
      <c r="AN44" s="37" t="str">
        <f t="shared" si="8"/>
        <v>rokprognozy=2048 i lp=41</v>
      </c>
      <c r="AO44" s="37" t="str">
        <f t="shared" si="8"/>
        <v>rokprognozy=2049 i lp=41</v>
      </c>
      <c r="AP44" s="37" t="str">
        <f t="shared" si="8"/>
        <v>rokprognozy=2050 i lp=41</v>
      </c>
    </row>
    <row r="45" spans="1:42" ht="24">
      <c r="A45" s="8">
        <v>42</v>
      </c>
      <c r="B45" s="39">
        <v>19</v>
      </c>
      <c r="C45" s="48" t="s">
        <v>72</v>
      </c>
      <c r="D45" s="25" t="str">
        <f t="shared" si="6"/>
        <v>rokprognozy=2012 i lp=42</v>
      </c>
      <c r="E45" s="25" t="str">
        <f t="shared" si="6"/>
        <v>rokprognozy=2013 i lp=42</v>
      </c>
      <c r="F45" s="37" t="str">
        <f t="shared" si="6"/>
        <v>rokprognozy=2014 i lp=42</v>
      </c>
      <c r="G45" s="37" t="str">
        <f t="shared" si="6"/>
        <v>rokprognozy=2015 i lp=42</v>
      </c>
      <c r="H45" s="37" t="str">
        <f t="shared" si="6"/>
        <v>rokprognozy=2016 i lp=42</v>
      </c>
      <c r="I45" s="37" t="str">
        <f t="shared" si="6"/>
        <v>rokprognozy=2017 i lp=42</v>
      </c>
      <c r="J45" s="37" t="str">
        <f t="shared" si="6"/>
        <v>rokprognozy=2018 i lp=42</v>
      </c>
      <c r="K45" s="37" t="str">
        <f t="shared" si="6"/>
        <v>rokprognozy=2019 i lp=42</v>
      </c>
      <c r="L45" s="37" t="str">
        <f t="shared" si="6"/>
        <v>rokprognozy=2020 i lp=42</v>
      </c>
      <c r="M45" s="37" t="str">
        <f t="shared" si="7"/>
        <v>rokprognozy=2021 i lp=42</v>
      </c>
      <c r="N45" s="37" t="str">
        <f t="shared" si="7"/>
        <v>rokprognozy=2022 i lp=42</v>
      </c>
      <c r="O45" s="37" t="str">
        <f t="shared" si="7"/>
        <v>rokprognozy=2023 i lp=42</v>
      </c>
      <c r="P45" s="37" t="str">
        <f t="shared" si="7"/>
        <v>rokprognozy=2024 i lp=42</v>
      </c>
      <c r="Q45" s="37" t="str">
        <f t="shared" si="7"/>
        <v>rokprognozy=2025 i lp=42</v>
      </c>
      <c r="R45" s="37" t="str">
        <f t="shared" si="7"/>
        <v>rokprognozy=2026 i lp=42</v>
      </c>
      <c r="S45" s="37" t="str">
        <f t="shared" si="7"/>
        <v>rokprognozy=2027 i lp=42</v>
      </c>
      <c r="T45" s="37" t="str">
        <f t="shared" si="7"/>
        <v>rokprognozy=2028 i lp=42</v>
      </c>
      <c r="U45" s="37" t="str">
        <f t="shared" si="7"/>
        <v>rokprognozy=2029 i lp=42</v>
      </c>
      <c r="V45" s="37" t="str">
        <f t="shared" si="7"/>
        <v>rokprognozy=2030 i lp=42</v>
      </c>
      <c r="W45" s="37" t="str">
        <f t="shared" si="7"/>
        <v>rokprognozy=2031 i lp=42</v>
      </c>
      <c r="X45" s="37" t="str">
        <f t="shared" si="7"/>
        <v>rokprognozy=2032 i lp=42</v>
      </c>
      <c r="Y45" s="37" t="str">
        <f t="shared" si="7"/>
        <v>rokprognozy=2033 i lp=42</v>
      </c>
      <c r="Z45" s="37" t="str">
        <f t="shared" si="7"/>
        <v>rokprognozy=2034 i lp=42</v>
      </c>
      <c r="AA45" s="37" t="str">
        <f t="shared" si="7"/>
        <v>rokprognozy=2035 i lp=42</v>
      </c>
      <c r="AB45" s="37" t="str">
        <f t="shared" si="7"/>
        <v>rokprognozy=2036 i lp=42</v>
      </c>
      <c r="AC45" s="37" t="str">
        <f t="shared" si="8"/>
        <v>rokprognozy=2037 i lp=42</v>
      </c>
      <c r="AD45" s="37" t="str">
        <f t="shared" si="8"/>
        <v>rokprognozy=2038 i lp=42</v>
      </c>
      <c r="AE45" s="37" t="str">
        <f t="shared" si="8"/>
        <v>rokprognozy=2039 i lp=42</v>
      </c>
      <c r="AF45" s="37" t="str">
        <f t="shared" si="8"/>
        <v>rokprognozy=2040 i lp=42</v>
      </c>
      <c r="AG45" s="37" t="str">
        <f t="shared" si="8"/>
        <v>rokprognozy=2041 i lp=42</v>
      </c>
      <c r="AH45" s="37" t="str">
        <f t="shared" si="8"/>
        <v>rokprognozy=2042 i lp=42</v>
      </c>
      <c r="AI45" s="37" t="str">
        <f t="shared" si="8"/>
        <v>rokprognozy=2043 i lp=42</v>
      </c>
      <c r="AJ45" s="37" t="str">
        <f t="shared" si="8"/>
        <v>rokprognozy=2044 i lp=42</v>
      </c>
      <c r="AK45" s="37" t="str">
        <f t="shared" si="8"/>
        <v>rokprognozy=2045 i lp=42</v>
      </c>
      <c r="AL45" s="37" t="str">
        <f t="shared" si="8"/>
        <v>rokprognozy=2046 i lp=42</v>
      </c>
      <c r="AM45" s="37" t="str">
        <f t="shared" si="8"/>
        <v>rokprognozy=2047 i lp=42</v>
      </c>
      <c r="AN45" s="37" t="str">
        <f t="shared" si="8"/>
        <v>rokprognozy=2048 i lp=42</v>
      </c>
      <c r="AO45" s="37" t="str">
        <f t="shared" si="8"/>
        <v>rokprognozy=2049 i lp=42</v>
      </c>
      <c r="AP45" s="37" t="str">
        <f t="shared" si="8"/>
        <v>rokprognozy=2050 i lp=42</v>
      </c>
    </row>
    <row r="46" spans="1:42" ht="24">
      <c r="A46" s="8">
        <v>43</v>
      </c>
      <c r="B46" s="39" t="s">
        <v>144</v>
      </c>
      <c r="C46" s="48" t="s">
        <v>74</v>
      </c>
      <c r="D46" s="25" t="str">
        <f aca="true" t="shared" si="9" ref="D46:L60">+"rokprognozy="&amp;D$3&amp;" i lp="&amp;$A46</f>
        <v>rokprognozy=2012 i lp=43</v>
      </c>
      <c r="E46" s="25" t="str">
        <f t="shared" si="9"/>
        <v>rokprognozy=2013 i lp=43</v>
      </c>
      <c r="F46" s="37" t="str">
        <f t="shared" si="9"/>
        <v>rokprognozy=2014 i lp=43</v>
      </c>
      <c r="G46" s="37" t="str">
        <f t="shared" si="9"/>
        <v>rokprognozy=2015 i lp=43</v>
      </c>
      <c r="H46" s="37" t="str">
        <f t="shared" si="9"/>
        <v>rokprognozy=2016 i lp=43</v>
      </c>
      <c r="I46" s="37" t="str">
        <f t="shared" si="9"/>
        <v>rokprognozy=2017 i lp=43</v>
      </c>
      <c r="J46" s="37" t="str">
        <f t="shared" si="9"/>
        <v>rokprognozy=2018 i lp=43</v>
      </c>
      <c r="K46" s="37" t="str">
        <f t="shared" si="9"/>
        <v>rokprognozy=2019 i lp=43</v>
      </c>
      <c r="L46" s="37" t="str">
        <f t="shared" si="9"/>
        <v>rokprognozy=2020 i lp=43</v>
      </c>
      <c r="M46" s="37" t="str">
        <f t="shared" si="7"/>
        <v>rokprognozy=2021 i lp=43</v>
      </c>
      <c r="N46" s="37" t="str">
        <f t="shared" si="7"/>
        <v>rokprognozy=2022 i lp=43</v>
      </c>
      <c r="O46" s="37" t="str">
        <f t="shared" si="7"/>
        <v>rokprognozy=2023 i lp=43</v>
      </c>
      <c r="P46" s="37" t="str">
        <f t="shared" si="7"/>
        <v>rokprognozy=2024 i lp=43</v>
      </c>
      <c r="Q46" s="37" t="str">
        <f t="shared" si="7"/>
        <v>rokprognozy=2025 i lp=43</v>
      </c>
      <c r="R46" s="37" t="str">
        <f t="shared" si="7"/>
        <v>rokprognozy=2026 i lp=43</v>
      </c>
      <c r="S46" s="37" t="str">
        <f t="shared" si="7"/>
        <v>rokprognozy=2027 i lp=43</v>
      </c>
      <c r="T46" s="37" t="str">
        <f t="shared" si="7"/>
        <v>rokprognozy=2028 i lp=43</v>
      </c>
      <c r="U46" s="37" t="str">
        <f t="shared" si="7"/>
        <v>rokprognozy=2029 i lp=43</v>
      </c>
      <c r="V46" s="37" t="str">
        <f t="shared" si="7"/>
        <v>rokprognozy=2030 i lp=43</v>
      </c>
      <c r="W46" s="37" t="str">
        <f t="shared" si="7"/>
        <v>rokprognozy=2031 i lp=43</v>
      </c>
      <c r="X46" s="37" t="str">
        <f t="shared" si="7"/>
        <v>rokprognozy=2032 i lp=43</v>
      </c>
      <c r="Y46" s="37" t="str">
        <f t="shared" si="7"/>
        <v>rokprognozy=2033 i lp=43</v>
      </c>
      <c r="Z46" s="37" t="str">
        <f t="shared" si="7"/>
        <v>rokprognozy=2034 i lp=43</v>
      </c>
      <c r="AA46" s="37" t="str">
        <f t="shared" si="7"/>
        <v>rokprognozy=2035 i lp=43</v>
      </c>
      <c r="AB46" s="37" t="str">
        <f t="shared" si="7"/>
        <v>rokprognozy=2036 i lp=43</v>
      </c>
      <c r="AC46" s="37" t="str">
        <f t="shared" si="8"/>
        <v>rokprognozy=2037 i lp=43</v>
      </c>
      <c r="AD46" s="37" t="str">
        <f t="shared" si="8"/>
        <v>rokprognozy=2038 i lp=43</v>
      </c>
      <c r="AE46" s="37" t="str">
        <f t="shared" si="8"/>
        <v>rokprognozy=2039 i lp=43</v>
      </c>
      <c r="AF46" s="37" t="str">
        <f t="shared" si="8"/>
        <v>rokprognozy=2040 i lp=43</v>
      </c>
      <c r="AG46" s="37" t="str">
        <f t="shared" si="8"/>
        <v>rokprognozy=2041 i lp=43</v>
      </c>
      <c r="AH46" s="37" t="str">
        <f t="shared" si="8"/>
        <v>rokprognozy=2042 i lp=43</v>
      </c>
      <c r="AI46" s="37" t="str">
        <f t="shared" si="8"/>
        <v>rokprognozy=2043 i lp=43</v>
      </c>
      <c r="AJ46" s="37" t="str">
        <f t="shared" si="8"/>
        <v>rokprognozy=2044 i lp=43</v>
      </c>
      <c r="AK46" s="37" t="str">
        <f t="shared" si="8"/>
        <v>rokprognozy=2045 i lp=43</v>
      </c>
      <c r="AL46" s="37" t="str">
        <f t="shared" si="8"/>
        <v>rokprognozy=2046 i lp=43</v>
      </c>
      <c r="AM46" s="37" t="str">
        <f t="shared" si="8"/>
        <v>rokprognozy=2047 i lp=43</v>
      </c>
      <c r="AN46" s="37" t="str">
        <f t="shared" si="8"/>
        <v>rokprognozy=2048 i lp=43</v>
      </c>
      <c r="AO46" s="37" t="str">
        <f t="shared" si="8"/>
        <v>rokprognozy=2049 i lp=43</v>
      </c>
      <c r="AP46" s="37" t="str">
        <f t="shared" si="8"/>
        <v>rokprognozy=2050 i lp=43</v>
      </c>
    </row>
    <row r="47" spans="1:42" ht="14.25">
      <c r="A47" s="8">
        <v>44</v>
      </c>
      <c r="B47" s="39">
        <v>20</v>
      </c>
      <c r="C47" s="48" t="s">
        <v>145</v>
      </c>
      <c r="D47" s="25" t="str">
        <f t="shared" si="9"/>
        <v>rokprognozy=2012 i lp=44</v>
      </c>
      <c r="E47" s="25" t="str">
        <f t="shared" si="9"/>
        <v>rokprognozy=2013 i lp=44</v>
      </c>
      <c r="F47" s="37" t="str">
        <f t="shared" si="9"/>
        <v>rokprognozy=2014 i lp=44</v>
      </c>
      <c r="G47" s="37" t="str">
        <f t="shared" si="9"/>
        <v>rokprognozy=2015 i lp=44</v>
      </c>
      <c r="H47" s="37" t="str">
        <f t="shared" si="9"/>
        <v>rokprognozy=2016 i lp=44</v>
      </c>
      <c r="I47" s="37" t="str">
        <f t="shared" si="9"/>
        <v>rokprognozy=2017 i lp=44</v>
      </c>
      <c r="J47" s="37" t="str">
        <f t="shared" si="9"/>
        <v>rokprognozy=2018 i lp=44</v>
      </c>
      <c r="K47" s="37" t="str">
        <f t="shared" si="9"/>
        <v>rokprognozy=2019 i lp=44</v>
      </c>
      <c r="L47" s="37" t="str">
        <f t="shared" si="9"/>
        <v>rokprognozy=2020 i lp=44</v>
      </c>
      <c r="M47" s="37" t="str">
        <f t="shared" si="7"/>
        <v>rokprognozy=2021 i lp=44</v>
      </c>
      <c r="N47" s="37" t="str">
        <f t="shared" si="7"/>
        <v>rokprognozy=2022 i lp=44</v>
      </c>
      <c r="O47" s="37" t="str">
        <f t="shared" si="7"/>
        <v>rokprognozy=2023 i lp=44</v>
      </c>
      <c r="P47" s="37" t="str">
        <f t="shared" si="7"/>
        <v>rokprognozy=2024 i lp=44</v>
      </c>
      <c r="Q47" s="37" t="str">
        <f t="shared" si="7"/>
        <v>rokprognozy=2025 i lp=44</v>
      </c>
      <c r="R47" s="37" t="str">
        <f t="shared" si="7"/>
        <v>rokprognozy=2026 i lp=44</v>
      </c>
      <c r="S47" s="37" t="str">
        <f t="shared" si="7"/>
        <v>rokprognozy=2027 i lp=44</v>
      </c>
      <c r="T47" s="37" t="str">
        <f t="shared" si="7"/>
        <v>rokprognozy=2028 i lp=44</v>
      </c>
      <c r="U47" s="37" t="str">
        <f t="shared" si="7"/>
        <v>rokprognozy=2029 i lp=44</v>
      </c>
      <c r="V47" s="37" t="str">
        <f t="shared" si="7"/>
        <v>rokprognozy=2030 i lp=44</v>
      </c>
      <c r="W47" s="37" t="str">
        <f t="shared" si="7"/>
        <v>rokprognozy=2031 i lp=44</v>
      </c>
      <c r="X47" s="37" t="str">
        <f t="shared" si="7"/>
        <v>rokprognozy=2032 i lp=44</v>
      </c>
      <c r="Y47" s="37" t="str">
        <f t="shared" si="7"/>
        <v>rokprognozy=2033 i lp=44</v>
      </c>
      <c r="Z47" s="37" t="str">
        <f t="shared" si="7"/>
        <v>rokprognozy=2034 i lp=44</v>
      </c>
      <c r="AA47" s="37" t="str">
        <f t="shared" si="7"/>
        <v>rokprognozy=2035 i lp=44</v>
      </c>
      <c r="AB47" s="37" t="str">
        <f t="shared" si="7"/>
        <v>rokprognozy=2036 i lp=44</v>
      </c>
      <c r="AC47" s="37" t="str">
        <f t="shared" si="8"/>
        <v>rokprognozy=2037 i lp=44</v>
      </c>
      <c r="AD47" s="37" t="str">
        <f t="shared" si="8"/>
        <v>rokprognozy=2038 i lp=44</v>
      </c>
      <c r="AE47" s="37" t="str">
        <f t="shared" si="8"/>
        <v>rokprognozy=2039 i lp=44</v>
      </c>
      <c r="AF47" s="37" t="str">
        <f t="shared" si="8"/>
        <v>rokprognozy=2040 i lp=44</v>
      </c>
      <c r="AG47" s="37" t="str">
        <f t="shared" si="8"/>
        <v>rokprognozy=2041 i lp=44</v>
      </c>
      <c r="AH47" s="37" t="str">
        <f t="shared" si="8"/>
        <v>rokprognozy=2042 i lp=44</v>
      </c>
      <c r="AI47" s="37" t="str">
        <f t="shared" si="8"/>
        <v>rokprognozy=2043 i lp=44</v>
      </c>
      <c r="AJ47" s="37" t="str">
        <f t="shared" si="8"/>
        <v>rokprognozy=2044 i lp=44</v>
      </c>
      <c r="AK47" s="37" t="str">
        <f t="shared" si="8"/>
        <v>rokprognozy=2045 i lp=44</v>
      </c>
      <c r="AL47" s="37" t="str">
        <f t="shared" si="8"/>
        <v>rokprognozy=2046 i lp=44</v>
      </c>
      <c r="AM47" s="37" t="str">
        <f t="shared" si="8"/>
        <v>rokprognozy=2047 i lp=44</v>
      </c>
      <c r="AN47" s="37" t="str">
        <f t="shared" si="8"/>
        <v>rokprognozy=2048 i lp=44</v>
      </c>
      <c r="AO47" s="37" t="str">
        <f t="shared" si="8"/>
        <v>rokprognozy=2049 i lp=44</v>
      </c>
      <c r="AP47" s="37" t="str">
        <f t="shared" si="8"/>
        <v>rokprognozy=2050 i lp=44</v>
      </c>
    </row>
    <row r="48" spans="1:42" ht="14.25">
      <c r="A48" s="8">
        <v>45</v>
      </c>
      <c r="B48" s="39" t="s">
        <v>146</v>
      </c>
      <c r="C48" s="48" t="s">
        <v>53</v>
      </c>
      <c r="D48" s="25" t="str">
        <f t="shared" si="9"/>
        <v>rokprognozy=2012 i lp=45</v>
      </c>
      <c r="E48" s="25" t="str">
        <f t="shared" si="9"/>
        <v>rokprognozy=2013 i lp=45</v>
      </c>
      <c r="F48" s="37" t="str">
        <f t="shared" si="9"/>
        <v>rokprognozy=2014 i lp=45</v>
      </c>
      <c r="G48" s="37" t="str">
        <f t="shared" si="9"/>
        <v>rokprognozy=2015 i lp=45</v>
      </c>
      <c r="H48" s="37" t="str">
        <f t="shared" si="9"/>
        <v>rokprognozy=2016 i lp=45</v>
      </c>
      <c r="I48" s="37" t="str">
        <f t="shared" si="9"/>
        <v>rokprognozy=2017 i lp=45</v>
      </c>
      <c r="J48" s="37" t="str">
        <f t="shared" si="9"/>
        <v>rokprognozy=2018 i lp=45</v>
      </c>
      <c r="K48" s="37" t="str">
        <f t="shared" si="9"/>
        <v>rokprognozy=2019 i lp=45</v>
      </c>
      <c r="L48" s="37" t="str">
        <f t="shared" si="9"/>
        <v>rokprognozy=2020 i lp=45</v>
      </c>
      <c r="M48" s="37" t="str">
        <f t="shared" si="7"/>
        <v>rokprognozy=2021 i lp=45</v>
      </c>
      <c r="N48" s="37" t="str">
        <f t="shared" si="7"/>
        <v>rokprognozy=2022 i lp=45</v>
      </c>
      <c r="O48" s="37" t="str">
        <f t="shared" si="7"/>
        <v>rokprognozy=2023 i lp=45</v>
      </c>
      <c r="P48" s="37" t="str">
        <f t="shared" si="7"/>
        <v>rokprognozy=2024 i lp=45</v>
      </c>
      <c r="Q48" s="37" t="str">
        <f t="shared" si="7"/>
        <v>rokprognozy=2025 i lp=45</v>
      </c>
      <c r="R48" s="37" t="str">
        <f t="shared" si="7"/>
        <v>rokprognozy=2026 i lp=45</v>
      </c>
      <c r="S48" s="37" t="str">
        <f t="shared" si="7"/>
        <v>rokprognozy=2027 i lp=45</v>
      </c>
      <c r="T48" s="37" t="str">
        <f t="shared" si="7"/>
        <v>rokprognozy=2028 i lp=45</v>
      </c>
      <c r="U48" s="37" t="str">
        <f t="shared" si="7"/>
        <v>rokprognozy=2029 i lp=45</v>
      </c>
      <c r="V48" s="37" t="str">
        <f t="shared" si="7"/>
        <v>rokprognozy=2030 i lp=45</v>
      </c>
      <c r="W48" s="37" t="str">
        <f t="shared" si="7"/>
        <v>rokprognozy=2031 i lp=45</v>
      </c>
      <c r="X48" s="37" t="str">
        <f t="shared" si="7"/>
        <v>rokprognozy=2032 i lp=45</v>
      </c>
      <c r="Y48" s="37" t="str">
        <f t="shared" si="7"/>
        <v>rokprognozy=2033 i lp=45</v>
      </c>
      <c r="Z48" s="37" t="str">
        <f t="shared" si="7"/>
        <v>rokprognozy=2034 i lp=45</v>
      </c>
      <c r="AA48" s="37" t="str">
        <f t="shared" si="7"/>
        <v>rokprognozy=2035 i lp=45</v>
      </c>
      <c r="AB48" s="37" t="str">
        <f t="shared" si="7"/>
        <v>rokprognozy=2036 i lp=45</v>
      </c>
      <c r="AC48" s="37" t="str">
        <f t="shared" si="8"/>
        <v>rokprognozy=2037 i lp=45</v>
      </c>
      <c r="AD48" s="37" t="str">
        <f t="shared" si="8"/>
        <v>rokprognozy=2038 i lp=45</v>
      </c>
      <c r="AE48" s="37" t="str">
        <f t="shared" si="8"/>
        <v>rokprognozy=2039 i lp=45</v>
      </c>
      <c r="AF48" s="37" t="str">
        <f t="shared" si="8"/>
        <v>rokprognozy=2040 i lp=45</v>
      </c>
      <c r="AG48" s="37" t="str">
        <f t="shared" si="8"/>
        <v>rokprognozy=2041 i lp=45</v>
      </c>
      <c r="AH48" s="37" t="str">
        <f t="shared" si="8"/>
        <v>rokprognozy=2042 i lp=45</v>
      </c>
      <c r="AI48" s="37" t="str">
        <f t="shared" si="8"/>
        <v>rokprognozy=2043 i lp=45</v>
      </c>
      <c r="AJ48" s="37" t="str">
        <f t="shared" si="8"/>
        <v>rokprognozy=2044 i lp=45</v>
      </c>
      <c r="AK48" s="37" t="str">
        <f t="shared" si="8"/>
        <v>rokprognozy=2045 i lp=45</v>
      </c>
      <c r="AL48" s="37" t="str">
        <f t="shared" si="8"/>
        <v>rokprognozy=2046 i lp=45</v>
      </c>
      <c r="AM48" s="37" t="str">
        <f t="shared" si="8"/>
        <v>rokprognozy=2047 i lp=45</v>
      </c>
      <c r="AN48" s="37" t="str">
        <f t="shared" si="8"/>
        <v>rokprognozy=2048 i lp=45</v>
      </c>
      <c r="AO48" s="37" t="str">
        <f t="shared" si="8"/>
        <v>rokprognozy=2049 i lp=45</v>
      </c>
      <c r="AP48" s="37" t="str">
        <f t="shared" si="8"/>
        <v>rokprognozy=2050 i lp=45</v>
      </c>
    </row>
    <row r="49" spans="1:42" ht="24">
      <c r="A49" s="8">
        <v>46</v>
      </c>
      <c r="B49" s="39">
        <v>21</v>
      </c>
      <c r="C49" s="48" t="s">
        <v>54</v>
      </c>
      <c r="D49" s="25" t="str">
        <f t="shared" si="9"/>
        <v>rokprognozy=2012 i lp=46</v>
      </c>
      <c r="E49" s="25" t="str">
        <f t="shared" si="9"/>
        <v>rokprognozy=2013 i lp=46</v>
      </c>
      <c r="F49" s="37" t="str">
        <f t="shared" si="9"/>
        <v>rokprognozy=2014 i lp=46</v>
      </c>
      <c r="G49" s="37" t="str">
        <f t="shared" si="9"/>
        <v>rokprognozy=2015 i lp=46</v>
      </c>
      <c r="H49" s="37" t="str">
        <f t="shared" si="9"/>
        <v>rokprognozy=2016 i lp=46</v>
      </c>
      <c r="I49" s="37" t="str">
        <f t="shared" si="9"/>
        <v>rokprognozy=2017 i lp=46</v>
      </c>
      <c r="J49" s="37" t="str">
        <f t="shared" si="9"/>
        <v>rokprognozy=2018 i lp=46</v>
      </c>
      <c r="K49" s="37" t="str">
        <f t="shared" si="9"/>
        <v>rokprognozy=2019 i lp=46</v>
      </c>
      <c r="L49" s="37" t="str">
        <f t="shared" si="9"/>
        <v>rokprognozy=2020 i lp=46</v>
      </c>
      <c r="M49" s="37" t="str">
        <f t="shared" si="7"/>
        <v>rokprognozy=2021 i lp=46</v>
      </c>
      <c r="N49" s="37" t="str">
        <f t="shared" si="7"/>
        <v>rokprognozy=2022 i lp=46</v>
      </c>
      <c r="O49" s="37" t="str">
        <f t="shared" si="7"/>
        <v>rokprognozy=2023 i lp=46</v>
      </c>
      <c r="P49" s="37" t="str">
        <f t="shared" si="7"/>
        <v>rokprognozy=2024 i lp=46</v>
      </c>
      <c r="Q49" s="37" t="str">
        <f t="shared" si="7"/>
        <v>rokprognozy=2025 i lp=46</v>
      </c>
      <c r="R49" s="37" t="str">
        <f t="shared" si="7"/>
        <v>rokprognozy=2026 i lp=46</v>
      </c>
      <c r="S49" s="37" t="str">
        <f aca="true" t="shared" si="10" ref="M49:AB60">+"rokprognozy="&amp;S$3&amp;" i lp="&amp;$A49</f>
        <v>rokprognozy=2027 i lp=46</v>
      </c>
      <c r="T49" s="37" t="str">
        <f t="shared" si="10"/>
        <v>rokprognozy=2028 i lp=46</v>
      </c>
      <c r="U49" s="37" t="str">
        <f t="shared" si="10"/>
        <v>rokprognozy=2029 i lp=46</v>
      </c>
      <c r="V49" s="37" t="str">
        <f t="shared" si="10"/>
        <v>rokprognozy=2030 i lp=46</v>
      </c>
      <c r="W49" s="37" t="str">
        <f t="shared" si="10"/>
        <v>rokprognozy=2031 i lp=46</v>
      </c>
      <c r="X49" s="37" t="str">
        <f t="shared" si="10"/>
        <v>rokprognozy=2032 i lp=46</v>
      </c>
      <c r="Y49" s="37" t="str">
        <f t="shared" si="10"/>
        <v>rokprognozy=2033 i lp=46</v>
      </c>
      <c r="Z49" s="37" t="str">
        <f t="shared" si="10"/>
        <v>rokprognozy=2034 i lp=46</v>
      </c>
      <c r="AA49" s="37" t="str">
        <f t="shared" si="10"/>
        <v>rokprognozy=2035 i lp=46</v>
      </c>
      <c r="AB49" s="37" t="str">
        <f t="shared" si="10"/>
        <v>rokprognozy=2036 i lp=46</v>
      </c>
      <c r="AC49" s="37" t="str">
        <f t="shared" si="8"/>
        <v>rokprognozy=2037 i lp=46</v>
      </c>
      <c r="AD49" s="37" t="str">
        <f t="shared" si="8"/>
        <v>rokprognozy=2038 i lp=46</v>
      </c>
      <c r="AE49" s="37" t="str">
        <f t="shared" si="8"/>
        <v>rokprognozy=2039 i lp=46</v>
      </c>
      <c r="AF49" s="37" t="str">
        <f t="shared" si="8"/>
        <v>rokprognozy=2040 i lp=46</v>
      </c>
      <c r="AG49" s="37" t="str">
        <f t="shared" si="8"/>
        <v>rokprognozy=2041 i lp=46</v>
      </c>
      <c r="AH49" s="37" t="str">
        <f t="shared" si="8"/>
        <v>rokprognozy=2042 i lp=46</v>
      </c>
      <c r="AI49" s="37" t="str">
        <f t="shared" si="8"/>
        <v>rokprognozy=2043 i lp=46</v>
      </c>
      <c r="AJ49" s="37" t="str">
        <f t="shared" si="8"/>
        <v>rokprognozy=2044 i lp=46</v>
      </c>
      <c r="AK49" s="37" t="str">
        <f t="shared" si="8"/>
        <v>rokprognozy=2045 i lp=46</v>
      </c>
      <c r="AL49" s="37" t="str">
        <f t="shared" si="8"/>
        <v>rokprognozy=2046 i lp=46</v>
      </c>
      <c r="AM49" s="37" t="str">
        <f t="shared" si="8"/>
        <v>rokprognozy=2047 i lp=46</v>
      </c>
      <c r="AN49" s="37" t="str">
        <f t="shared" si="8"/>
        <v>rokprognozy=2048 i lp=46</v>
      </c>
      <c r="AO49" s="37" t="str">
        <f t="shared" si="8"/>
        <v>rokprognozy=2049 i lp=46</v>
      </c>
      <c r="AP49" s="37" t="str">
        <f t="shared" si="8"/>
        <v>rokprognozy=2050 i lp=46</v>
      </c>
    </row>
    <row r="50" spans="1:42" ht="24">
      <c r="A50" s="8">
        <v>47</v>
      </c>
      <c r="B50" s="39" t="s">
        <v>147</v>
      </c>
      <c r="C50" s="48" t="s">
        <v>76</v>
      </c>
      <c r="D50" s="25" t="str">
        <f t="shared" si="9"/>
        <v>rokprognozy=2012 i lp=47</v>
      </c>
      <c r="E50" s="25" t="str">
        <f t="shared" si="9"/>
        <v>rokprognozy=2013 i lp=47</v>
      </c>
      <c r="F50" s="37" t="str">
        <f t="shared" si="9"/>
        <v>rokprognozy=2014 i lp=47</v>
      </c>
      <c r="G50" s="37" t="str">
        <f t="shared" si="9"/>
        <v>rokprognozy=2015 i lp=47</v>
      </c>
      <c r="H50" s="37" t="str">
        <f t="shared" si="9"/>
        <v>rokprognozy=2016 i lp=47</v>
      </c>
      <c r="I50" s="37" t="str">
        <f t="shared" si="9"/>
        <v>rokprognozy=2017 i lp=47</v>
      </c>
      <c r="J50" s="37" t="str">
        <f t="shared" si="9"/>
        <v>rokprognozy=2018 i lp=47</v>
      </c>
      <c r="K50" s="37" t="str">
        <f t="shared" si="9"/>
        <v>rokprognozy=2019 i lp=47</v>
      </c>
      <c r="L50" s="37" t="str">
        <f t="shared" si="9"/>
        <v>rokprognozy=2020 i lp=47</v>
      </c>
      <c r="M50" s="37" t="str">
        <f t="shared" si="10"/>
        <v>rokprognozy=2021 i lp=47</v>
      </c>
      <c r="N50" s="37" t="str">
        <f t="shared" si="10"/>
        <v>rokprognozy=2022 i lp=47</v>
      </c>
      <c r="O50" s="37" t="str">
        <f t="shared" si="10"/>
        <v>rokprognozy=2023 i lp=47</v>
      </c>
      <c r="P50" s="37" t="str">
        <f t="shared" si="10"/>
        <v>rokprognozy=2024 i lp=47</v>
      </c>
      <c r="Q50" s="37" t="str">
        <f t="shared" si="10"/>
        <v>rokprognozy=2025 i lp=47</v>
      </c>
      <c r="R50" s="37" t="str">
        <f t="shared" si="10"/>
        <v>rokprognozy=2026 i lp=47</v>
      </c>
      <c r="S50" s="37" t="str">
        <f t="shared" si="10"/>
        <v>rokprognozy=2027 i lp=47</v>
      </c>
      <c r="T50" s="37" t="str">
        <f t="shared" si="10"/>
        <v>rokprognozy=2028 i lp=47</v>
      </c>
      <c r="U50" s="37" t="str">
        <f t="shared" si="10"/>
        <v>rokprognozy=2029 i lp=47</v>
      </c>
      <c r="V50" s="37" t="str">
        <f t="shared" si="10"/>
        <v>rokprognozy=2030 i lp=47</v>
      </c>
      <c r="W50" s="37" t="str">
        <f t="shared" si="10"/>
        <v>rokprognozy=2031 i lp=47</v>
      </c>
      <c r="X50" s="37" t="str">
        <f t="shared" si="10"/>
        <v>rokprognozy=2032 i lp=47</v>
      </c>
      <c r="Y50" s="37" t="str">
        <f t="shared" si="10"/>
        <v>rokprognozy=2033 i lp=47</v>
      </c>
      <c r="Z50" s="37" t="str">
        <f t="shared" si="10"/>
        <v>rokprognozy=2034 i lp=47</v>
      </c>
      <c r="AA50" s="37" t="str">
        <f t="shared" si="10"/>
        <v>rokprognozy=2035 i lp=47</v>
      </c>
      <c r="AB50" s="37" t="str">
        <f t="shared" si="10"/>
        <v>rokprognozy=2036 i lp=47</v>
      </c>
      <c r="AC50" s="37" t="str">
        <f t="shared" si="8"/>
        <v>rokprognozy=2037 i lp=47</v>
      </c>
      <c r="AD50" s="37" t="str">
        <f t="shared" si="8"/>
        <v>rokprognozy=2038 i lp=47</v>
      </c>
      <c r="AE50" s="37" t="str">
        <f t="shared" si="8"/>
        <v>rokprognozy=2039 i lp=47</v>
      </c>
      <c r="AF50" s="37" t="str">
        <f t="shared" si="8"/>
        <v>rokprognozy=2040 i lp=47</v>
      </c>
      <c r="AG50" s="37" t="str">
        <f t="shared" si="8"/>
        <v>rokprognozy=2041 i lp=47</v>
      </c>
      <c r="AH50" s="37" t="str">
        <f t="shared" si="8"/>
        <v>rokprognozy=2042 i lp=47</v>
      </c>
      <c r="AI50" s="37" t="str">
        <f t="shared" si="8"/>
        <v>rokprognozy=2043 i lp=47</v>
      </c>
      <c r="AJ50" s="37" t="str">
        <f t="shared" si="8"/>
        <v>rokprognozy=2044 i lp=47</v>
      </c>
      <c r="AK50" s="37" t="str">
        <f t="shared" si="8"/>
        <v>rokprognozy=2045 i lp=47</v>
      </c>
      <c r="AL50" s="37" t="str">
        <f t="shared" si="8"/>
        <v>rokprognozy=2046 i lp=47</v>
      </c>
      <c r="AM50" s="37" t="str">
        <f t="shared" si="8"/>
        <v>rokprognozy=2047 i lp=47</v>
      </c>
      <c r="AN50" s="37" t="str">
        <f t="shared" si="8"/>
        <v>rokprognozy=2048 i lp=47</v>
      </c>
      <c r="AO50" s="37" t="str">
        <f t="shared" si="8"/>
        <v>rokprognozy=2049 i lp=47</v>
      </c>
      <c r="AP50" s="37" t="str">
        <f t="shared" si="8"/>
        <v>rokprognozy=2050 i lp=47</v>
      </c>
    </row>
    <row r="51" spans="1:42" ht="24">
      <c r="A51" s="8">
        <v>48</v>
      </c>
      <c r="B51" s="39">
        <v>22</v>
      </c>
      <c r="C51" s="48" t="s">
        <v>77</v>
      </c>
      <c r="D51" s="25" t="str">
        <f t="shared" si="9"/>
        <v>rokprognozy=2012 i lp=48</v>
      </c>
      <c r="E51" s="25" t="str">
        <f t="shared" si="9"/>
        <v>rokprognozy=2013 i lp=48</v>
      </c>
      <c r="F51" s="37" t="str">
        <f t="shared" si="9"/>
        <v>rokprognozy=2014 i lp=48</v>
      </c>
      <c r="G51" s="37" t="str">
        <f t="shared" si="9"/>
        <v>rokprognozy=2015 i lp=48</v>
      </c>
      <c r="H51" s="37" t="str">
        <f t="shared" si="9"/>
        <v>rokprognozy=2016 i lp=48</v>
      </c>
      <c r="I51" s="37" t="str">
        <f t="shared" si="9"/>
        <v>rokprognozy=2017 i lp=48</v>
      </c>
      <c r="J51" s="37" t="str">
        <f t="shared" si="9"/>
        <v>rokprognozy=2018 i lp=48</v>
      </c>
      <c r="K51" s="37" t="str">
        <f t="shared" si="9"/>
        <v>rokprognozy=2019 i lp=48</v>
      </c>
      <c r="L51" s="37" t="str">
        <f t="shared" si="9"/>
        <v>rokprognozy=2020 i lp=48</v>
      </c>
      <c r="M51" s="37" t="str">
        <f t="shared" si="10"/>
        <v>rokprognozy=2021 i lp=48</v>
      </c>
      <c r="N51" s="37" t="str">
        <f t="shared" si="10"/>
        <v>rokprognozy=2022 i lp=48</v>
      </c>
      <c r="O51" s="37" t="str">
        <f t="shared" si="10"/>
        <v>rokprognozy=2023 i lp=48</v>
      </c>
      <c r="P51" s="37" t="str">
        <f t="shared" si="10"/>
        <v>rokprognozy=2024 i lp=48</v>
      </c>
      <c r="Q51" s="37" t="str">
        <f t="shared" si="10"/>
        <v>rokprognozy=2025 i lp=48</v>
      </c>
      <c r="R51" s="37" t="str">
        <f t="shared" si="10"/>
        <v>rokprognozy=2026 i lp=48</v>
      </c>
      <c r="S51" s="37" t="str">
        <f t="shared" si="10"/>
        <v>rokprognozy=2027 i lp=48</v>
      </c>
      <c r="T51" s="37" t="str">
        <f t="shared" si="10"/>
        <v>rokprognozy=2028 i lp=48</v>
      </c>
      <c r="U51" s="37" t="str">
        <f t="shared" si="10"/>
        <v>rokprognozy=2029 i lp=48</v>
      </c>
      <c r="V51" s="37" t="str">
        <f t="shared" si="10"/>
        <v>rokprognozy=2030 i lp=48</v>
      </c>
      <c r="W51" s="37" t="str">
        <f t="shared" si="10"/>
        <v>rokprognozy=2031 i lp=48</v>
      </c>
      <c r="X51" s="37" t="str">
        <f t="shared" si="10"/>
        <v>rokprognozy=2032 i lp=48</v>
      </c>
      <c r="Y51" s="37" t="str">
        <f t="shared" si="10"/>
        <v>rokprognozy=2033 i lp=48</v>
      </c>
      <c r="Z51" s="37" t="str">
        <f t="shared" si="10"/>
        <v>rokprognozy=2034 i lp=48</v>
      </c>
      <c r="AA51" s="37" t="str">
        <f t="shared" si="10"/>
        <v>rokprognozy=2035 i lp=48</v>
      </c>
      <c r="AB51" s="37" t="str">
        <f t="shared" si="10"/>
        <v>rokprognozy=2036 i lp=48</v>
      </c>
      <c r="AC51" s="37" t="str">
        <f t="shared" si="8"/>
        <v>rokprognozy=2037 i lp=48</v>
      </c>
      <c r="AD51" s="37" t="str">
        <f t="shared" si="8"/>
        <v>rokprognozy=2038 i lp=48</v>
      </c>
      <c r="AE51" s="37" t="str">
        <f t="shared" si="8"/>
        <v>rokprognozy=2039 i lp=48</v>
      </c>
      <c r="AF51" s="37" t="str">
        <f t="shared" si="8"/>
        <v>rokprognozy=2040 i lp=48</v>
      </c>
      <c r="AG51" s="37" t="str">
        <f t="shared" si="8"/>
        <v>rokprognozy=2041 i lp=48</v>
      </c>
      <c r="AH51" s="37" t="str">
        <f t="shared" si="8"/>
        <v>rokprognozy=2042 i lp=48</v>
      </c>
      <c r="AI51" s="37" t="str">
        <f t="shared" si="8"/>
        <v>rokprognozy=2043 i lp=48</v>
      </c>
      <c r="AJ51" s="37" t="str">
        <f t="shared" si="8"/>
        <v>rokprognozy=2044 i lp=48</v>
      </c>
      <c r="AK51" s="37" t="str">
        <f t="shared" si="8"/>
        <v>rokprognozy=2045 i lp=48</v>
      </c>
      <c r="AL51" s="37" t="str">
        <f t="shared" si="8"/>
        <v>rokprognozy=2046 i lp=48</v>
      </c>
      <c r="AM51" s="37" t="str">
        <f t="shared" si="8"/>
        <v>rokprognozy=2047 i lp=48</v>
      </c>
      <c r="AN51" s="37" t="str">
        <f t="shared" si="8"/>
        <v>rokprognozy=2048 i lp=48</v>
      </c>
      <c r="AO51" s="37" t="str">
        <f aca="true" t="shared" si="11" ref="AH51:AP52">+"rokprognozy="&amp;AO$3&amp;" i lp="&amp;$A51</f>
        <v>rokprognozy=2049 i lp=48</v>
      </c>
      <c r="AP51" s="37" t="str">
        <f t="shared" si="11"/>
        <v>rokprognozy=2050 i lp=48</v>
      </c>
    </row>
    <row r="52" spans="1:42" ht="24">
      <c r="A52" s="8">
        <v>49</v>
      </c>
      <c r="B52" s="39" t="s">
        <v>148</v>
      </c>
      <c r="C52" s="48" t="s">
        <v>79</v>
      </c>
      <c r="D52" s="25" t="str">
        <f t="shared" si="9"/>
        <v>rokprognozy=2012 i lp=49</v>
      </c>
      <c r="E52" s="25" t="str">
        <f t="shared" si="9"/>
        <v>rokprognozy=2013 i lp=49</v>
      </c>
      <c r="F52" s="37" t="str">
        <f t="shared" si="9"/>
        <v>rokprognozy=2014 i lp=49</v>
      </c>
      <c r="G52" s="37" t="str">
        <f t="shared" si="9"/>
        <v>rokprognozy=2015 i lp=49</v>
      </c>
      <c r="H52" s="37" t="str">
        <f t="shared" si="9"/>
        <v>rokprognozy=2016 i lp=49</v>
      </c>
      <c r="I52" s="37" t="str">
        <f t="shared" si="9"/>
        <v>rokprognozy=2017 i lp=49</v>
      </c>
      <c r="J52" s="37" t="str">
        <f t="shared" si="9"/>
        <v>rokprognozy=2018 i lp=49</v>
      </c>
      <c r="K52" s="37" t="str">
        <f t="shared" si="9"/>
        <v>rokprognozy=2019 i lp=49</v>
      </c>
      <c r="L52" s="37" t="str">
        <f t="shared" si="9"/>
        <v>rokprognozy=2020 i lp=49</v>
      </c>
      <c r="M52" s="37" t="str">
        <f t="shared" si="10"/>
        <v>rokprognozy=2021 i lp=49</v>
      </c>
      <c r="N52" s="37" t="str">
        <f t="shared" si="10"/>
        <v>rokprognozy=2022 i lp=49</v>
      </c>
      <c r="O52" s="37" t="str">
        <f t="shared" si="10"/>
        <v>rokprognozy=2023 i lp=49</v>
      </c>
      <c r="P52" s="37" t="str">
        <f t="shared" si="10"/>
        <v>rokprognozy=2024 i lp=49</v>
      </c>
      <c r="Q52" s="37" t="str">
        <f t="shared" si="10"/>
        <v>rokprognozy=2025 i lp=49</v>
      </c>
      <c r="R52" s="37" t="str">
        <f t="shared" si="10"/>
        <v>rokprognozy=2026 i lp=49</v>
      </c>
      <c r="S52" s="37" t="str">
        <f t="shared" si="10"/>
        <v>rokprognozy=2027 i lp=49</v>
      </c>
      <c r="T52" s="37" t="str">
        <f t="shared" si="10"/>
        <v>rokprognozy=2028 i lp=49</v>
      </c>
      <c r="U52" s="37" t="str">
        <f t="shared" si="10"/>
        <v>rokprognozy=2029 i lp=49</v>
      </c>
      <c r="V52" s="37" t="str">
        <f t="shared" si="10"/>
        <v>rokprognozy=2030 i lp=49</v>
      </c>
      <c r="W52" s="37" t="str">
        <f t="shared" si="10"/>
        <v>rokprognozy=2031 i lp=49</v>
      </c>
      <c r="X52" s="37" t="str">
        <f t="shared" si="10"/>
        <v>rokprognozy=2032 i lp=49</v>
      </c>
      <c r="Y52" s="37" t="str">
        <f t="shared" si="10"/>
        <v>rokprognozy=2033 i lp=49</v>
      </c>
      <c r="Z52" s="37" t="str">
        <f t="shared" si="10"/>
        <v>rokprognozy=2034 i lp=49</v>
      </c>
      <c r="AA52" s="37" t="str">
        <f t="shared" si="10"/>
        <v>rokprognozy=2035 i lp=49</v>
      </c>
      <c r="AB52" s="37" t="str">
        <f t="shared" si="10"/>
        <v>rokprognozy=2036 i lp=49</v>
      </c>
      <c r="AC52" s="37" t="str">
        <f t="shared" si="8"/>
        <v>rokprognozy=2037 i lp=49</v>
      </c>
      <c r="AD52" s="37" t="str">
        <f t="shared" si="8"/>
        <v>rokprognozy=2038 i lp=49</v>
      </c>
      <c r="AE52" s="37" t="str">
        <f t="shared" si="8"/>
        <v>rokprognozy=2039 i lp=49</v>
      </c>
      <c r="AF52" s="37" t="str">
        <f t="shared" si="8"/>
        <v>rokprognozy=2040 i lp=49</v>
      </c>
      <c r="AG52" s="37" t="str">
        <f t="shared" si="8"/>
        <v>rokprognozy=2041 i lp=49</v>
      </c>
      <c r="AH52" s="37" t="str">
        <f t="shared" si="11"/>
        <v>rokprognozy=2042 i lp=49</v>
      </c>
      <c r="AI52" s="37" t="str">
        <f t="shared" si="11"/>
        <v>rokprognozy=2043 i lp=49</v>
      </c>
      <c r="AJ52" s="37" t="str">
        <f t="shared" si="11"/>
        <v>rokprognozy=2044 i lp=49</v>
      </c>
      <c r="AK52" s="37" t="str">
        <f t="shared" si="11"/>
        <v>rokprognozy=2045 i lp=49</v>
      </c>
      <c r="AL52" s="37" t="str">
        <f t="shared" si="11"/>
        <v>rokprognozy=2046 i lp=49</v>
      </c>
      <c r="AM52" s="37" t="str">
        <f t="shared" si="11"/>
        <v>rokprognozy=2047 i lp=49</v>
      </c>
      <c r="AN52" s="37" t="str">
        <f t="shared" si="11"/>
        <v>rokprognozy=2048 i lp=49</v>
      </c>
      <c r="AO52" s="37" t="str">
        <f t="shared" si="11"/>
        <v>rokprognozy=2049 i lp=49</v>
      </c>
      <c r="AP52" s="37" t="str">
        <f t="shared" si="11"/>
        <v>rokprognozy=2050 i lp=49</v>
      </c>
    </row>
    <row r="53" spans="1:42" ht="14.25">
      <c r="A53" s="8">
        <v>50</v>
      </c>
      <c r="B53" s="39">
        <v>23</v>
      </c>
      <c r="C53" s="48" t="s">
        <v>149</v>
      </c>
      <c r="D53" s="25" t="str">
        <f t="shared" si="9"/>
        <v>rokprognozy=2012 i lp=50</v>
      </c>
      <c r="E53" s="25" t="str">
        <f t="shared" si="9"/>
        <v>rokprognozy=2013 i lp=50</v>
      </c>
      <c r="F53" s="37" t="str">
        <f t="shared" si="9"/>
        <v>rokprognozy=2014 i lp=50</v>
      </c>
      <c r="G53" s="37" t="str">
        <f t="shared" si="9"/>
        <v>rokprognozy=2015 i lp=50</v>
      </c>
      <c r="H53" s="37" t="str">
        <f t="shared" si="9"/>
        <v>rokprognozy=2016 i lp=50</v>
      </c>
      <c r="I53" s="37" t="str">
        <f t="shared" si="9"/>
        <v>rokprognozy=2017 i lp=50</v>
      </c>
      <c r="J53" s="37" t="str">
        <f t="shared" si="9"/>
        <v>rokprognozy=2018 i lp=50</v>
      </c>
      <c r="K53" s="37" t="str">
        <f t="shared" si="9"/>
        <v>rokprognozy=2019 i lp=50</v>
      </c>
      <c r="L53" s="37" t="str">
        <f t="shared" si="9"/>
        <v>rokprognozy=2020 i lp=50</v>
      </c>
      <c r="M53" s="37" t="str">
        <f t="shared" si="10"/>
        <v>rokprognozy=2021 i lp=50</v>
      </c>
      <c r="N53" s="37" t="str">
        <f t="shared" si="10"/>
        <v>rokprognozy=2022 i lp=50</v>
      </c>
      <c r="O53" s="37" t="str">
        <f t="shared" si="10"/>
        <v>rokprognozy=2023 i lp=50</v>
      </c>
      <c r="P53" s="37" t="str">
        <f t="shared" si="10"/>
        <v>rokprognozy=2024 i lp=50</v>
      </c>
      <c r="Q53" s="37" t="str">
        <f t="shared" si="10"/>
        <v>rokprognozy=2025 i lp=50</v>
      </c>
      <c r="R53" s="37" t="str">
        <f t="shared" si="10"/>
        <v>rokprognozy=2026 i lp=50</v>
      </c>
      <c r="S53" s="37" t="str">
        <f t="shared" si="10"/>
        <v>rokprognozy=2027 i lp=50</v>
      </c>
      <c r="T53" s="37" t="str">
        <f t="shared" si="10"/>
        <v>rokprognozy=2028 i lp=50</v>
      </c>
      <c r="U53" s="37" t="str">
        <f t="shared" si="10"/>
        <v>rokprognozy=2029 i lp=50</v>
      </c>
      <c r="V53" s="37" t="str">
        <f t="shared" si="10"/>
        <v>rokprognozy=2030 i lp=50</v>
      </c>
      <c r="W53" s="37" t="str">
        <f t="shared" si="10"/>
        <v>rokprognozy=2031 i lp=50</v>
      </c>
      <c r="X53" s="37" t="str">
        <f t="shared" si="10"/>
        <v>rokprognozy=2032 i lp=50</v>
      </c>
      <c r="Y53" s="37" t="str">
        <f t="shared" si="10"/>
        <v>rokprognozy=2033 i lp=50</v>
      </c>
      <c r="Z53" s="37" t="str">
        <f t="shared" si="10"/>
        <v>rokprognozy=2034 i lp=50</v>
      </c>
      <c r="AA53" s="37" t="str">
        <f t="shared" si="10"/>
        <v>rokprognozy=2035 i lp=50</v>
      </c>
      <c r="AB53" s="37" t="str">
        <f t="shared" si="10"/>
        <v>rokprognozy=2036 i lp=50</v>
      </c>
      <c r="AC53" s="37" t="str">
        <f aca="true" t="shared" si="12" ref="AC53:AP60">+"rokprognozy="&amp;AC$3&amp;" i lp="&amp;$A53</f>
        <v>rokprognozy=2037 i lp=50</v>
      </c>
      <c r="AD53" s="37" t="str">
        <f t="shared" si="12"/>
        <v>rokprognozy=2038 i lp=50</v>
      </c>
      <c r="AE53" s="37" t="str">
        <f t="shared" si="12"/>
        <v>rokprognozy=2039 i lp=50</v>
      </c>
      <c r="AF53" s="37" t="str">
        <f t="shared" si="12"/>
        <v>rokprognozy=2040 i lp=50</v>
      </c>
      <c r="AG53" s="37" t="str">
        <f t="shared" si="12"/>
        <v>rokprognozy=2041 i lp=50</v>
      </c>
      <c r="AH53" s="37" t="str">
        <f t="shared" si="12"/>
        <v>rokprognozy=2042 i lp=50</v>
      </c>
      <c r="AI53" s="37" t="str">
        <f t="shared" si="12"/>
        <v>rokprognozy=2043 i lp=50</v>
      </c>
      <c r="AJ53" s="37" t="str">
        <f t="shared" si="12"/>
        <v>rokprognozy=2044 i lp=50</v>
      </c>
      <c r="AK53" s="37" t="str">
        <f t="shared" si="12"/>
        <v>rokprognozy=2045 i lp=50</v>
      </c>
      <c r="AL53" s="37" t="str">
        <f t="shared" si="12"/>
        <v>rokprognozy=2046 i lp=50</v>
      </c>
      <c r="AM53" s="37" t="str">
        <f t="shared" si="12"/>
        <v>rokprognozy=2047 i lp=50</v>
      </c>
      <c r="AN53" s="37" t="str">
        <f t="shared" si="12"/>
        <v>rokprognozy=2048 i lp=50</v>
      </c>
      <c r="AO53" s="37" t="str">
        <f t="shared" si="12"/>
        <v>rokprognozy=2049 i lp=50</v>
      </c>
      <c r="AP53" s="37" t="str">
        <f t="shared" si="12"/>
        <v>rokprognozy=2050 i lp=50</v>
      </c>
    </row>
    <row r="54" spans="1:42" ht="14.25">
      <c r="A54" s="8">
        <v>51</v>
      </c>
      <c r="B54" s="39">
        <v>24</v>
      </c>
      <c r="C54" s="48" t="s">
        <v>150</v>
      </c>
      <c r="D54" s="25" t="str">
        <f t="shared" si="9"/>
        <v>rokprognozy=2012 i lp=51</v>
      </c>
      <c r="E54" s="25" t="str">
        <f t="shared" si="9"/>
        <v>rokprognozy=2013 i lp=51</v>
      </c>
      <c r="F54" s="37" t="str">
        <f t="shared" si="9"/>
        <v>rokprognozy=2014 i lp=51</v>
      </c>
      <c r="G54" s="37" t="str">
        <f t="shared" si="9"/>
        <v>rokprognozy=2015 i lp=51</v>
      </c>
      <c r="H54" s="37" t="str">
        <f t="shared" si="9"/>
        <v>rokprognozy=2016 i lp=51</v>
      </c>
      <c r="I54" s="37" t="str">
        <f t="shared" si="9"/>
        <v>rokprognozy=2017 i lp=51</v>
      </c>
      <c r="J54" s="37" t="str">
        <f t="shared" si="9"/>
        <v>rokprognozy=2018 i lp=51</v>
      </c>
      <c r="K54" s="37" t="str">
        <f t="shared" si="9"/>
        <v>rokprognozy=2019 i lp=51</v>
      </c>
      <c r="L54" s="37" t="str">
        <f t="shared" si="9"/>
        <v>rokprognozy=2020 i lp=51</v>
      </c>
      <c r="M54" s="37" t="str">
        <f t="shared" si="10"/>
        <v>rokprognozy=2021 i lp=51</v>
      </c>
      <c r="N54" s="37" t="str">
        <f t="shared" si="10"/>
        <v>rokprognozy=2022 i lp=51</v>
      </c>
      <c r="O54" s="37" t="str">
        <f t="shared" si="10"/>
        <v>rokprognozy=2023 i lp=51</v>
      </c>
      <c r="P54" s="37" t="str">
        <f t="shared" si="10"/>
        <v>rokprognozy=2024 i lp=51</v>
      </c>
      <c r="Q54" s="37" t="str">
        <f t="shared" si="10"/>
        <v>rokprognozy=2025 i lp=51</v>
      </c>
      <c r="R54" s="37" t="str">
        <f t="shared" si="10"/>
        <v>rokprognozy=2026 i lp=51</v>
      </c>
      <c r="S54" s="37" t="str">
        <f t="shared" si="10"/>
        <v>rokprognozy=2027 i lp=51</v>
      </c>
      <c r="T54" s="37" t="str">
        <f t="shared" si="10"/>
        <v>rokprognozy=2028 i lp=51</v>
      </c>
      <c r="U54" s="37" t="str">
        <f t="shared" si="10"/>
        <v>rokprognozy=2029 i lp=51</v>
      </c>
      <c r="V54" s="37" t="str">
        <f t="shared" si="10"/>
        <v>rokprognozy=2030 i lp=51</v>
      </c>
      <c r="W54" s="37" t="str">
        <f t="shared" si="10"/>
        <v>rokprognozy=2031 i lp=51</v>
      </c>
      <c r="X54" s="37" t="str">
        <f t="shared" si="10"/>
        <v>rokprognozy=2032 i lp=51</v>
      </c>
      <c r="Y54" s="37" t="str">
        <f t="shared" si="10"/>
        <v>rokprognozy=2033 i lp=51</v>
      </c>
      <c r="Z54" s="37" t="str">
        <f t="shared" si="10"/>
        <v>rokprognozy=2034 i lp=51</v>
      </c>
      <c r="AA54" s="37" t="str">
        <f t="shared" si="10"/>
        <v>rokprognozy=2035 i lp=51</v>
      </c>
      <c r="AB54" s="37" t="str">
        <f t="shared" si="10"/>
        <v>rokprognozy=2036 i lp=51</v>
      </c>
      <c r="AC54" s="37" t="str">
        <f t="shared" si="12"/>
        <v>rokprognozy=2037 i lp=51</v>
      </c>
      <c r="AD54" s="37" t="str">
        <f t="shared" si="12"/>
        <v>rokprognozy=2038 i lp=51</v>
      </c>
      <c r="AE54" s="37" t="str">
        <f t="shared" si="12"/>
        <v>rokprognozy=2039 i lp=51</v>
      </c>
      <c r="AF54" s="37" t="str">
        <f t="shared" si="12"/>
        <v>rokprognozy=2040 i lp=51</v>
      </c>
      <c r="AG54" s="37" t="str">
        <f t="shared" si="12"/>
        <v>rokprognozy=2041 i lp=51</v>
      </c>
      <c r="AH54" s="37" t="str">
        <f t="shared" si="12"/>
        <v>rokprognozy=2042 i lp=51</v>
      </c>
      <c r="AI54" s="37" t="str">
        <f t="shared" si="12"/>
        <v>rokprognozy=2043 i lp=51</v>
      </c>
      <c r="AJ54" s="37" t="str">
        <f t="shared" si="12"/>
        <v>rokprognozy=2044 i lp=51</v>
      </c>
      <c r="AK54" s="37" t="str">
        <f t="shared" si="12"/>
        <v>rokprognozy=2045 i lp=51</v>
      </c>
      <c r="AL54" s="37" t="str">
        <f t="shared" si="12"/>
        <v>rokprognozy=2046 i lp=51</v>
      </c>
      <c r="AM54" s="37" t="str">
        <f t="shared" si="12"/>
        <v>rokprognozy=2047 i lp=51</v>
      </c>
      <c r="AN54" s="37" t="str">
        <f t="shared" si="12"/>
        <v>rokprognozy=2048 i lp=51</v>
      </c>
      <c r="AO54" s="37" t="str">
        <f t="shared" si="12"/>
        <v>rokprognozy=2049 i lp=51</v>
      </c>
      <c r="AP54" s="37" t="str">
        <f t="shared" si="12"/>
        <v>rokprognozy=2050 i lp=51</v>
      </c>
    </row>
    <row r="55" spans="1:42" ht="14.25">
      <c r="A55" s="8">
        <v>52</v>
      </c>
      <c r="B55" s="39">
        <v>25</v>
      </c>
      <c r="C55" s="48" t="s">
        <v>49</v>
      </c>
      <c r="D55" s="25" t="str">
        <f t="shared" si="9"/>
        <v>rokprognozy=2012 i lp=52</v>
      </c>
      <c r="E55" s="25" t="str">
        <f t="shared" si="9"/>
        <v>rokprognozy=2013 i lp=52</v>
      </c>
      <c r="F55" s="37" t="str">
        <f t="shared" si="9"/>
        <v>rokprognozy=2014 i lp=52</v>
      </c>
      <c r="G55" s="37" t="str">
        <f t="shared" si="9"/>
        <v>rokprognozy=2015 i lp=52</v>
      </c>
      <c r="H55" s="37" t="str">
        <f t="shared" si="9"/>
        <v>rokprognozy=2016 i lp=52</v>
      </c>
      <c r="I55" s="37" t="str">
        <f t="shared" si="9"/>
        <v>rokprognozy=2017 i lp=52</v>
      </c>
      <c r="J55" s="37" t="str">
        <f t="shared" si="9"/>
        <v>rokprognozy=2018 i lp=52</v>
      </c>
      <c r="K55" s="37" t="str">
        <f t="shared" si="9"/>
        <v>rokprognozy=2019 i lp=52</v>
      </c>
      <c r="L55" s="37" t="str">
        <f t="shared" si="9"/>
        <v>rokprognozy=2020 i lp=52</v>
      </c>
      <c r="M55" s="37" t="str">
        <f t="shared" si="10"/>
        <v>rokprognozy=2021 i lp=52</v>
      </c>
      <c r="N55" s="37" t="str">
        <f t="shared" si="10"/>
        <v>rokprognozy=2022 i lp=52</v>
      </c>
      <c r="O55" s="37" t="str">
        <f t="shared" si="10"/>
        <v>rokprognozy=2023 i lp=52</v>
      </c>
      <c r="P55" s="37" t="str">
        <f t="shared" si="10"/>
        <v>rokprognozy=2024 i lp=52</v>
      </c>
      <c r="Q55" s="37" t="str">
        <f t="shared" si="10"/>
        <v>rokprognozy=2025 i lp=52</v>
      </c>
      <c r="R55" s="37" t="str">
        <f t="shared" si="10"/>
        <v>rokprognozy=2026 i lp=52</v>
      </c>
      <c r="S55" s="37" t="str">
        <f t="shared" si="10"/>
        <v>rokprognozy=2027 i lp=52</v>
      </c>
      <c r="T55" s="37" t="str">
        <f t="shared" si="10"/>
        <v>rokprognozy=2028 i lp=52</v>
      </c>
      <c r="U55" s="37" t="str">
        <f t="shared" si="10"/>
        <v>rokprognozy=2029 i lp=52</v>
      </c>
      <c r="V55" s="37" t="str">
        <f t="shared" si="10"/>
        <v>rokprognozy=2030 i lp=52</v>
      </c>
      <c r="W55" s="37" t="str">
        <f t="shared" si="10"/>
        <v>rokprognozy=2031 i lp=52</v>
      </c>
      <c r="X55" s="37" t="str">
        <f t="shared" si="10"/>
        <v>rokprognozy=2032 i lp=52</v>
      </c>
      <c r="Y55" s="37" t="str">
        <f t="shared" si="10"/>
        <v>rokprognozy=2033 i lp=52</v>
      </c>
      <c r="Z55" s="37" t="str">
        <f t="shared" si="10"/>
        <v>rokprognozy=2034 i lp=52</v>
      </c>
      <c r="AA55" s="37" t="str">
        <f t="shared" si="10"/>
        <v>rokprognozy=2035 i lp=52</v>
      </c>
      <c r="AB55" s="37" t="str">
        <f t="shared" si="10"/>
        <v>rokprognozy=2036 i lp=52</v>
      </c>
      <c r="AC55" s="37" t="str">
        <f t="shared" si="12"/>
        <v>rokprognozy=2037 i lp=52</v>
      </c>
      <c r="AD55" s="37" t="str">
        <f t="shared" si="12"/>
        <v>rokprognozy=2038 i lp=52</v>
      </c>
      <c r="AE55" s="37" t="str">
        <f t="shared" si="12"/>
        <v>rokprognozy=2039 i lp=52</v>
      </c>
      <c r="AF55" s="37" t="str">
        <f t="shared" si="12"/>
        <v>rokprognozy=2040 i lp=52</v>
      </c>
      <c r="AG55" s="37" t="str">
        <f t="shared" si="12"/>
        <v>rokprognozy=2041 i lp=52</v>
      </c>
      <c r="AH55" s="37" t="str">
        <f t="shared" si="12"/>
        <v>rokprognozy=2042 i lp=52</v>
      </c>
      <c r="AI55" s="37" t="str">
        <f t="shared" si="12"/>
        <v>rokprognozy=2043 i lp=52</v>
      </c>
      <c r="AJ55" s="37" t="str">
        <f t="shared" si="12"/>
        <v>rokprognozy=2044 i lp=52</v>
      </c>
      <c r="AK55" s="37" t="str">
        <f t="shared" si="12"/>
        <v>rokprognozy=2045 i lp=52</v>
      </c>
      <c r="AL55" s="37" t="str">
        <f t="shared" si="12"/>
        <v>rokprognozy=2046 i lp=52</v>
      </c>
      <c r="AM55" s="37" t="str">
        <f t="shared" si="12"/>
        <v>rokprognozy=2047 i lp=52</v>
      </c>
      <c r="AN55" s="37" t="str">
        <f t="shared" si="12"/>
        <v>rokprognozy=2048 i lp=52</v>
      </c>
      <c r="AO55" s="37" t="str">
        <f t="shared" si="12"/>
        <v>rokprognozy=2049 i lp=52</v>
      </c>
      <c r="AP55" s="37" t="str">
        <f t="shared" si="12"/>
        <v>rokprognozy=2050 i lp=52</v>
      </c>
    </row>
    <row r="56" spans="1:42" ht="14.25">
      <c r="A56" s="8">
        <v>53</v>
      </c>
      <c r="B56" s="39">
        <v>26</v>
      </c>
      <c r="C56" s="48" t="s">
        <v>151</v>
      </c>
      <c r="D56" s="25" t="str">
        <f t="shared" si="9"/>
        <v>rokprognozy=2012 i lp=53</v>
      </c>
      <c r="E56" s="25" t="str">
        <f t="shared" si="9"/>
        <v>rokprognozy=2013 i lp=53</v>
      </c>
      <c r="F56" s="37" t="str">
        <f t="shared" si="9"/>
        <v>rokprognozy=2014 i lp=53</v>
      </c>
      <c r="G56" s="37" t="str">
        <f t="shared" si="9"/>
        <v>rokprognozy=2015 i lp=53</v>
      </c>
      <c r="H56" s="37" t="str">
        <f t="shared" si="9"/>
        <v>rokprognozy=2016 i lp=53</v>
      </c>
      <c r="I56" s="37" t="str">
        <f t="shared" si="9"/>
        <v>rokprognozy=2017 i lp=53</v>
      </c>
      <c r="J56" s="37" t="str">
        <f t="shared" si="9"/>
        <v>rokprognozy=2018 i lp=53</v>
      </c>
      <c r="K56" s="37" t="str">
        <f t="shared" si="9"/>
        <v>rokprognozy=2019 i lp=53</v>
      </c>
      <c r="L56" s="37" t="str">
        <f t="shared" si="9"/>
        <v>rokprognozy=2020 i lp=53</v>
      </c>
      <c r="M56" s="37" t="str">
        <f t="shared" si="10"/>
        <v>rokprognozy=2021 i lp=53</v>
      </c>
      <c r="N56" s="37" t="str">
        <f t="shared" si="10"/>
        <v>rokprognozy=2022 i lp=53</v>
      </c>
      <c r="O56" s="37" t="str">
        <f t="shared" si="10"/>
        <v>rokprognozy=2023 i lp=53</v>
      </c>
      <c r="P56" s="37" t="str">
        <f t="shared" si="10"/>
        <v>rokprognozy=2024 i lp=53</v>
      </c>
      <c r="Q56" s="37" t="str">
        <f t="shared" si="10"/>
        <v>rokprognozy=2025 i lp=53</v>
      </c>
      <c r="R56" s="37" t="str">
        <f t="shared" si="10"/>
        <v>rokprognozy=2026 i lp=53</v>
      </c>
      <c r="S56" s="37" t="str">
        <f t="shared" si="10"/>
        <v>rokprognozy=2027 i lp=53</v>
      </c>
      <c r="T56" s="37" t="str">
        <f t="shared" si="10"/>
        <v>rokprognozy=2028 i lp=53</v>
      </c>
      <c r="U56" s="37" t="str">
        <f t="shared" si="10"/>
        <v>rokprognozy=2029 i lp=53</v>
      </c>
      <c r="V56" s="37" t="str">
        <f t="shared" si="10"/>
        <v>rokprognozy=2030 i lp=53</v>
      </c>
      <c r="W56" s="37" t="str">
        <f t="shared" si="10"/>
        <v>rokprognozy=2031 i lp=53</v>
      </c>
      <c r="X56" s="37" t="str">
        <f t="shared" si="10"/>
        <v>rokprognozy=2032 i lp=53</v>
      </c>
      <c r="Y56" s="37" t="str">
        <f t="shared" si="10"/>
        <v>rokprognozy=2033 i lp=53</v>
      </c>
      <c r="Z56" s="37" t="str">
        <f t="shared" si="10"/>
        <v>rokprognozy=2034 i lp=53</v>
      </c>
      <c r="AA56" s="37" t="str">
        <f t="shared" si="10"/>
        <v>rokprognozy=2035 i lp=53</v>
      </c>
      <c r="AB56" s="37" t="str">
        <f t="shared" si="10"/>
        <v>rokprognozy=2036 i lp=53</v>
      </c>
      <c r="AC56" s="37" t="str">
        <f t="shared" si="12"/>
        <v>rokprognozy=2037 i lp=53</v>
      </c>
      <c r="AD56" s="37" t="str">
        <f t="shared" si="12"/>
        <v>rokprognozy=2038 i lp=53</v>
      </c>
      <c r="AE56" s="37" t="str">
        <f t="shared" si="12"/>
        <v>rokprognozy=2039 i lp=53</v>
      </c>
      <c r="AF56" s="37" t="str">
        <f t="shared" si="12"/>
        <v>rokprognozy=2040 i lp=53</v>
      </c>
      <c r="AG56" s="37" t="str">
        <f t="shared" si="12"/>
        <v>rokprognozy=2041 i lp=53</v>
      </c>
      <c r="AH56" s="37" t="str">
        <f t="shared" si="12"/>
        <v>rokprognozy=2042 i lp=53</v>
      </c>
      <c r="AI56" s="37" t="str">
        <f t="shared" si="12"/>
        <v>rokprognozy=2043 i lp=53</v>
      </c>
      <c r="AJ56" s="37" t="str">
        <f t="shared" si="12"/>
        <v>rokprognozy=2044 i lp=53</v>
      </c>
      <c r="AK56" s="37" t="str">
        <f t="shared" si="12"/>
        <v>rokprognozy=2045 i lp=53</v>
      </c>
      <c r="AL56" s="37" t="str">
        <f t="shared" si="12"/>
        <v>rokprognozy=2046 i lp=53</v>
      </c>
      <c r="AM56" s="37" t="str">
        <f t="shared" si="12"/>
        <v>rokprognozy=2047 i lp=53</v>
      </c>
      <c r="AN56" s="37" t="str">
        <f t="shared" si="12"/>
        <v>rokprognozy=2048 i lp=53</v>
      </c>
      <c r="AO56" s="37" t="str">
        <f t="shared" si="12"/>
        <v>rokprognozy=2049 i lp=53</v>
      </c>
      <c r="AP56" s="37" t="str">
        <f t="shared" si="12"/>
        <v>rokprognozy=2050 i lp=53</v>
      </c>
    </row>
    <row r="57" spans="1:42" ht="14.25">
      <c r="A57" s="8">
        <v>54</v>
      </c>
      <c r="B57" s="39">
        <v>27</v>
      </c>
      <c r="C57" s="48" t="s">
        <v>46</v>
      </c>
      <c r="D57" s="25" t="str">
        <f t="shared" si="9"/>
        <v>rokprognozy=2012 i lp=54</v>
      </c>
      <c r="E57" s="25" t="str">
        <f t="shared" si="9"/>
        <v>rokprognozy=2013 i lp=54</v>
      </c>
      <c r="F57" s="37" t="str">
        <f t="shared" si="9"/>
        <v>rokprognozy=2014 i lp=54</v>
      </c>
      <c r="G57" s="37" t="str">
        <f t="shared" si="9"/>
        <v>rokprognozy=2015 i lp=54</v>
      </c>
      <c r="H57" s="37" t="str">
        <f t="shared" si="9"/>
        <v>rokprognozy=2016 i lp=54</v>
      </c>
      <c r="I57" s="37" t="str">
        <f t="shared" si="9"/>
        <v>rokprognozy=2017 i lp=54</v>
      </c>
      <c r="J57" s="37" t="str">
        <f t="shared" si="9"/>
        <v>rokprognozy=2018 i lp=54</v>
      </c>
      <c r="K57" s="37" t="str">
        <f t="shared" si="9"/>
        <v>rokprognozy=2019 i lp=54</v>
      </c>
      <c r="L57" s="37" t="str">
        <f t="shared" si="9"/>
        <v>rokprognozy=2020 i lp=54</v>
      </c>
      <c r="M57" s="37" t="str">
        <f t="shared" si="10"/>
        <v>rokprognozy=2021 i lp=54</v>
      </c>
      <c r="N57" s="37" t="str">
        <f t="shared" si="10"/>
        <v>rokprognozy=2022 i lp=54</v>
      </c>
      <c r="O57" s="37" t="str">
        <f t="shared" si="10"/>
        <v>rokprognozy=2023 i lp=54</v>
      </c>
      <c r="P57" s="37" t="str">
        <f t="shared" si="10"/>
        <v>rokprognozy=2024 i lp=54</v>
      </c>
      <c r="Q57" s="37" t="str">
        <f t="shared" si="10"/>
        <v>rokprognozy=2025 i lp=54</v>
      </c>
      <c r="R57" s="37" t="str">
        <f t="shared" si="10"/>
        <v>rokprognozy=2026 i lp=54</v>
      </c>
      <c r="S57" s="37" t="str">
        <f t="shared" si="10"/>
        <v>rokprognozy=2027 i lp=54</v>
      </c>
      <c r="T57" s="37" t="str">
        <f t="shared" si="10"/>
        <v>rokprognozy=2028 i lp=54</v>
      </c>
      <c r="U57" s="37" t="str">
        <f t="shared" si="10"/>
        <v>rokprognozy=2029 i lp=54</v>
      </c>
      <c r="V57" s="37" t="str">
        <f t="shared" si="10"/>
        <v>rokprognozy=2030 i lp=54</v>
      </c>
      <c r="W57" s="37" t="str">
        <f t="shared" si="10"/>
        <v>rokprognozy=2031 i lp=54</v>
      </c>
      <c r="X57" s="37" t="str">
        <f t="shared" si="10"/>
        <v>rokprognozy=2032 i lp=54</v>
      </c>
      <c r="Y57" s="37" t="str">
        <f t="shared" si="10"/>
        <v>rokprognozy=2033 i lp=54</v>
      </c>
      <c r="Z57" s="37" t="str">
        <f t="shared" si="10"/>
        <v>rokprognozy=2034 i lp=54</v>
      </c>
      <c r="AA57" s="37" t="str">
        <f t="shared" si="10"/>
        <v>rokprognozy=2035 i lp=54</v>
      </c>
      <c r="AB57" s="37" t="str">
        <f t="shared" si="10"/>
        <v>rokprognozy=2036 i lp=54</v>
      </c>
      <c r="AC57" s="37" t="str">
        <f t="shared" si="12"/>
        <v>rokprognozy=2037 i lp=54</v>
      </c>
      <c r="AD57" s="37" t="str">
        <f t="shared" si="12"/>
        <v>rokprognozy=2038 i lp=54</v>
      </c>
      <c r="AE57" s="37" t="str">
        <f t="shared" si="12"/>
        <v>rokprognozy=2039 i lp=54</v>
      </c>
      <c r="AF57" s="37" t="str">
        <f t="shared" si="12"/>
        <v>rokprognozy=2040 i lp=54</v>
      </c>
      <c r="AG57" s="37" t="str">
        <f t="shared" si="12"/>
        <v>rokprognozy=2041 i lp=54</v>
      </c>
      <c r="AH57" s="37" t="str">
        <f t="shared" si="12"/>
        <v>rokprognozy=2042 i lp=54</v>
      </c>
      <c r="AI57" s="37" t="str">
        <f t="shared" si="12"/>
        <v>rokprognozy=2043 i lp=54</v>
      </c>
      <c r="AJ57" s="37" t="str">
        <f t="shared" si="12"/>
        <v>rokprognozy=2044 i lp=54</v>
      </c>
      <c r="AK57" s="37" t="str">
        <f t="shared" si="12"/>
        <v>rokprognozy=2045 i lp=54</v>
      </c>
      <c r="AL57" s="37" t="str">
        <f t="shared" si="12"/>
        <v>rokprognozy=2046 i lp=54</v>
      </c>
      <c r="AM57" s="37" t="str">
        <f t="shared" si="12"/>
        <v>rokprognozy=2047 i lp=54</v>
      </c>
      <c r="AN57" s="37" t="str">
        <f t="shared" si="12"/>
        <v>rokprognozy=2048 i lp=54</v>
      </c>
      <c r="AO57" s="37" t="str">
        <f t="shared" si="12"/>
        <v>rokprognozy=2049 i lp=54</v>
      </c>
      <c r="AP57" s="37" t="str">
        <f t="shared" si="12"/>
        <v>rokprognozy=2050 i lp=54</v>
      </c>
    </row>
    <row r="58" spans="1:42" ht="14.25">
      <c r="A58" s="8">
        <v>55</v>
      </c>
      <c r="B58" s="39">
        <v>28</v>
      </c>
      <c r="C58" s="48" t="s">
        <v>48</v>
      </c>
      <c r="D58" s="25" t="str">
        <f t="shared" si="9"/>
        <v>rokprognozy=2012 i lp=55</v>
      </c>
      <c r="E58" s="25" t="str">
        <f t="shared" si="9"/>
        <v>rokprognozy=2013 i lp=55</v>
      </c>
      <c r="F58" s="37" t="str">
        <f t="shared" si="9"/>
        <v>rokprognozy=2014 i lp=55</v>
      </c>
      <c r="G58" s="37" t="str">
        <f t="shared" si="9"/>
        <v>rokprognozy=2015 i lp=55</v>
      </c>
      <c r="H58" s="37" t="str">
        <f t="shared" si="9"/>
        <v>rokprognozy=2016 i lp=55</v>
      </c>
      <c r="I58" s="37" t="str">
        <f t="shared" si="9"/>
        <v>rokprognozy=2017 i lp=55</v>
      </c>
      <c r="J58" s="37" t="str">
        <f t="shared" si="9"/>
        <v>rokprognozy=2018 i lp=55</v>
      </c>
      <c r="K58" s="37" t="str">
        <f t="shared" si="9"/>
        <v>rokprognozy=2019 i lp=55</v>
      </c>
      <c r="L58" s="37" t="str">
        <f t="shared" si="9"/>
        <v>rokprognozy=2020 i lp=55</v>
      </c>
      <c r="M58" s="37" t="str">
        <f t="shared" si="10"/>
        <v>rokprognozy=2021 i lp=55</v>
      </c>
      <c r="N58" s="37" t="str">
        <f t="shared" si="10"/>
        <v>rokprognozy=2022 i lp=55</v>
      </c>
      <c r="O58" s="37" t="str">
        <f t="shared" si="10"/>
        <v>rokprognozy=2023 i lp=55</v>
      </c>
      <c r="P58" s="37" t="str">
        <f t="shared" si="10"/>
        <v>rokprognozy=2024 i lp=55</v>
      </c>
      <c r="Q58" s="37" t="str">
        <f t="shared" si="10"/>
        <v>rokprognozy=2025 i lp=55</v>
      </c>
      <c r="R58" s="37" t="str">
        <f t="shared" si="10"/>
        <v>rokprognozy=2026 i lp=55</v>
      </c>
      <c r="S58" s="37" t="str">
        <f t="shared" si="10"/>
        <v>rokprognozy=2027 i lp=55</v>
      </c>
      <c r="T58" s="37" t="str">
        <f t="shared" si="10"/>
        <v>rokprognozy=2028 i lp=55</v>
      </c>
      <c r="U58" s="37" t="str">
        <f t="shared" si="10"/>
        <v>rokprognozy=2029 i lp=55</v>
      </c>
      <c r="V58" s="37" t="str">
        <f t="shared" si="10"/>
        <v>rokprognozy=2030 i lp=55</v>
      </c>
      <c r="W58" s="37" t="str">
        <f t="shared" si="10"/>
        <v>rokprognozy=2031 i lp=55</v>
      </c>
      <c r="X58" s="37" t="str">
        <f t="shared" si="10"/>
        <v>rokprognozy=2032 i lp=55</v>
      </c>
      <c r="Y58" s="37" t="str">
        <f t="shared" si="10"/>
        <v>rokprognozy=2033 i lp=55</v>
      </c>
      <c r="Z58" s="37" t="str">
        <f t="shared" si="10"/>
        <v>rokprognozy=2034 i lp=55</v>
      </c>
      <c r="AA58" s="37" t="str">
        <f t="shared" si="10"/>
        <v>rokprognozy=2035 i lp=55</v>
      </c>
      <c r="AB58" s="37" t="str">
        <f t="shared" si="10"/>
        <v>rokprognozy=2036 i lp=55</v>
      </c>
      <c r="AC58" s="37" t="str">
        <f t="shared" si="12"/>
        <v>rokprognozy=2037 i lp=55</v>
      </c>
      <c r="AD58" s="37" t="str">
        <f t="shared" si="12"/>
        <v>rokprognozy=2038 i lp=55</v>
      </c>
      <c r="AE58" s="37" t="str">
        <f t="shared" si="12"/>
        <v>rokprognozy=2039 i lp=55</v>
      </c>
      <c r="AF58" s="37" t="str">
        <f t="shared" si="12"/>
        <v>rokprognozy=2040 i lp=55</v>
      </c>
      <c r="AG58" s="37" t="str">
        <f t="shared" si="12"/>
        <v>rokprognozy=2041 i lp=55</v>
      </c>
      <c r="AH58" s="37" t="str">
        <f t="shared" si="12"/>
        <v>rokprognozy=2042 i lp=55</v>
      </c>
      <c r="AI58" s="37" t="str">
        <f t="shared" si="12"/>
        <v>rokprognozy=2043 i lp=55</v>
      </c>
      <c r="AJ58" s="37" t="str">
        <f t="shared" si="12"/>
        <v>rokprognozy=2044 i lp=55</v>
      </c>
      <c r="AK58" s="37" t="str">
        <f t="shared" si="12"/>
        <v>rokprognozy=2045 i lp=55</v>
      </c>
      <c r="AL58" s="37" t="str">
        <f t="shared" si="12"/>
        <v>rokprognozy=2046 i lp=55</v>
      </c>
      <c r="AM58" s="37" t="str">
        <f t="shared" si="12"/>
        <v>rokprognozy=2047 i lp=55</v>
      </c>
      <c r="AN58" s="37" t="str">
        <f t="shared" si="12"/>
        <v>rokprognozy=2048 i lp=55</v>
      </c>
      <c r="AO58" s="37" t="str">
        <f t="shared" si="12"/>
        <v>rokprognozy=2049 i lp=55</v>
      </c>
      <c r="AP58" s="37" t="str">
        <f t="shared" si="12"/>
        <v>rokprognozy=2050 i lp=55</v>
      </c>
    </row>
    <row r="59" spans="1:42" ht="14.25">
      <c r="A59" s="8">
        <v>56</v>
      </c>
      <c r="B59" s="39">
        <v>29</v>
      </c>
      <c r="C59" s="48" t="s">
        <v>152</v>
      </c>
      <c r="D59" s="25" t="str">
        <f t="shared" si="9"/>
        <v>rokprognozy=2012 i lp=56</v>
      </c>
      <c r="E59" s="25" t="str">
        <f t="shared" si="9"/>
        <v>rokprognozy=2013 i lp=56</v>
      </c>
      <c r="F59" s="37" t="str">
        <f t="shared" si="9"/>
        <v>rokprognozy=2014 i lp=56</v>
      </c>
      <c r="G59" s="37" t="str">
        <f t="shared" si="9"/>
        <v>rokprognozy=2015 i lp=56</v>
      </c>
      <c r="H59" s="37" t="str">
        <f t="shared" si="9"/>
        <v>rokprognozy=2016 i lp=56</v>
      </c>
      <c r="I59" s="37" t="str">
        <f t="shared" si="9"/>
        <v>rokprognozy=2017 i lp=56</v>
      </c>
      <c r="J59" s="37" t="str">
        <f t="shared" si="9"/>
        <v>rokprognozy=2018 i lp=56</v>
      </c>
      <c r="K59" s="37" t="str">
        <f t="shared" si="9"/>
        <v>rokprognozy=2019 i lp=56</v>
      </c>
      <c r="L59" s="37" t="str">
        <f t="shared" si="9"/>
        <v>rokprognozy=2020 i lp=56</v>
      </c>
      <c r="M59" s="37" t="str">
        <f t="shared" si="10"/>
        <v>rokprognozy=2021 i lp=56</v>
      </c>
      <c r="N59" s="37" t="str">
        <f t="shared" si="10"/>
        <v>rokprognozy=2022 i lp=56</v>
      </c>
      <c r="O59" s="37" t="str">
        <f t="shared" si="10"/>
        <v>rokprognozy=2023 i lp=56</v>
      </c>
      <c r="P59" s="37" t="str">
        <f t="shared" si="10"/>
        <v>rokprognozy=2024 i lp=56</v>
      </c>
      <c r="Q59" s="37" t="str">
        <f t="shared" si="10"/>
        <v>rokprognozy=2025 i lp=56</v>
      </c>
      <c r="R59" s="37" t="str">
        <f t="shared" si="10"/>
        <v>rokprognozy=2026 i lp=56</v>
      </c>
      <c r="S59" s="37" t="str">
        <f t="shared" si="10"/>
        <v>rokprognozy=2027 i lp=56</v>
      </c>
      <c r="T59" s="37" t="str">
        <f t="shared" si="10"/>
        <v>rokprognozy=2028 i lp=56</v>
      </c>
      <c r="U59" s="37" t="str">
        <f t="shared" si="10"/>
        <v>rokprognozy=2029 i lp=56</v>
      </c>
      <c r="V59" s="37" t="str">
        <f t="shared" si="10"/>
        <v>rokprognozy=2030 i lp=56</v>
      </c>
      <c r="W59" s="37" t="str">
        <f t="shared" si="10"/>
        <v>rokprognozy=2031 i lp=56</v>
      </c>
      <c r="X59" s="37" t="str">
        <f t="shared" si="10"/>
        <v>rokprognozy=2032 i lp=56</v>
      </c>
      <c r="Y59" s="37" t="str">
        <f t="shared" si="10"/>
        <v>rokprognozy=2033 i lp=56</v>
      </c>
      <c r="Z59" s="37" t="str">
        <f t="shared" si="10"/>
        <v>rokprognozy=2034 i lp=56</v>
      </c>
      <c r="AA59" s="37" t="str">
        <f t="shared" si="10"/>
        <v>rokprognozy=2035 i lp=56</v>
      </c>
      <c r="AB59" s="37" t="str">
        <f t="shared" si="10"/>
        <v>rokprognozy=2036 i lp=56</v>
      </c>
      <c r="AC59" s="37" t="str">
        <f t="shared" si="12"/>
        <v>rokprognozy=2037 i lp=56</v>
      </c>
      <c r="AD59" s="37" t="str">
        <f t="shared" si="12"/>
        <v>rokprognozy=2038 i lp=56</v>
      </c>
      <c r="AE59" s="37" t="str">
        <f t="shared" si="12"/>
        <v>rokprognozy=2039 i lp=56</v>
      </c>
      <c r="AF59" s="37" t="str">
        <f t="shared" si="12"/>
        <v>rokprognozy=2040 i lp=56</v>
      </c>
      <c r="AG59" s="37" t="str">
        <f t="shared" si="12"/>
        <v>rokprognozy=2041 i lp=56</v>
      </c>
      <c r="AH59" s="37" t="str">
        <f t="shared" si="12"/>
        <v>rokprognozy=2042 i lp=56</v>
      </c>
      <c r="AI59" s="37" t="str">
        <f t="shared" si="12"/>
        <v>rokprognozy=2043 i lp=56</v>
      </c>
      <c r="AJ59" s="37" t="str">
        <f t="shared" si="12"/>
        <v>rokprognozy=2044 i lp=56</v>
      </c>
      <c r="AK59" s="37" t="str">
        <f t="shared" si="12"/>
        <v>rokprognozy=2045 i lp=56</v>
      </c>
      <c r="AL59" s="37" t="str">
        <f t="shared" si="12"/>
        <v>rokprognozy=2046 i lp=56</v>
      </c>
      <c r="AM59" s="37" t="str">
        <f t="shared" si="12"/>
        <v>rokprognozy=2047 i lp=56</v>
      </c>
      <c r="AN59" s="37" t="str">
        <f t="shared" si="12"/>
        <v>rokprognozy=2048 i lp=56</v>
      </c>
      <c r="AO59" s="37" t="str">
        <f t="shared" si="12"/>
        <v>rokprognozy=2049 i lp=56</v>
      </c>
      <c r="AP59" s="37" t="str">
        <f t="shared" si="12"/>
        <v>rokprognozy=2050 i lp=56</v>
      </c>
    </row>
    <row r="60" spans="1:42" ht="14.25">
      <c r="A60" s="8">
        <v>57</v>
      </c>
      <c r="B60" s="39">
        <v>30</v>
      </c>
      <c r="C60" s="48" t="s">
        <v>153</v>
      </c>
      <c r="D60" s="25" t="str">
        <f t="shared" si="9"/>
        <v>rokprognozy=2012 i lp=57</v>
      </c>
      <c r="E60" s="25" t="str">
        <f t="shared" si="9"/>
        <v>rokprognozy=2013 i lp=57</v>
      </c>
      <c r="F60" s="37" t="str">
        <f t="shared" si="9"/>
        <v>rokprognozy=2014 i lp=57</v>
      </c>
      <c r="G60" s="37" t="str">
        <f t="shared" si="9"/>
        <v>rokprognozy=2015 i lp=57</v>
      </c>
      <c r="H60" s="37" t="str">
        <f t="shared" si="9"/>
        <v>rokprognozy=2016 i lp=57</v>
      </c>
      <c r="I60" s="37" t="str">
        <f t="shared" si="9"/>
        <v>rokprognozy=2017 i lp=57</v>
      </c>
      <c r="J60" s="37" t="str">
        <f t="shared" si="9"/>
        <v>rokprognozy=2018 i lp=57</v>
      </c>
      <c r="K60" s="37" t="str">
        <f t="shared" si="9"/>
        <v>rokprognozy=2019 i lp=57</v>
      </c>
      <c r="L60" s="37" t="str">
        <f t="shared" si="9"/>
        <v>rokprognozy=2020 i lp=57</v>
      </c>
      <c r="M60" s="37" t="str">
        <f t="shared" si="10"/>
        <v>rokprognozy=2021 i lp=57</v>
      </c>
      <c r="N60" s="37" t="str">
        <f t="shared" si="10"/>
        <v>rokprognozy=2022 i lp=57</v>
      </c>
      <c r="O60" s="37" t="str">
        <f t="shared" si="10"/>
        <v>rokprognozy=2023 i lp=57</v>
      </c>
      <c r="P60" s="37" t="str">
        <f t="shared" si="10"/>
        <v>rokprognozy=2024 i lp=57</v>
      </c>
      <c r="Q60" s="37" t="str">
        <f t="shared" si="10"/>
        <v>rokprognozy=2025 i lp=57</v>
      </c>
      <c r="R60" s="37" t="str">
        <f t="shared" si="10"/>
        <v>rokprognozy=2026 i lp=57</v>
      </c>
      <c r="S60" s="37" t="str">
        <f t="shared" si="10"/>
        <v>rokprognozy=2027 i lp=57</v>
      </c>
      <c r="T60" s="37" t="str">
        <f t="shared" si="10"/>
        <v>rokprognozy=2028 i lp=57</v>
      </c>
      <c r="U60" s="37" t="str">
        <f t="shared" si="10"/>
        <v>rokprognozy=2029 i lp=57</v>
      </c>
      <c r="V60" s="37" t="str">
        <f t="shared" si="10"/>
        <v>rokprognozy=2030 i lp=57</v>
      </c>
      <c r="W60" s="37" t="str">
        <f t="shared" si="10"/>
        <v>rokprognozy=2031 i lp=57</v>
      </c>
      <c r="X60" s="37" t="str">
        <f t="shared" si="10"/>
        <v>rokprognozy=2032 i lp=57</v>
      </c>
      <c r="Y60" s="37" t="str">
        <f t="shared" si="10"/>
        <v>rokprognozy=2033 i lp=57</v>
      </c>
      <c r="Z60" s="37" t="str">
        <f t="shared" si="10"/>
        <v>rokprognozy=2034 i lp=57</v>
      </c>
      <c r="AA60" s="37" t="str">
        <f t="shared" si="10"/>
        <v>rokprognozy=2035 i lp=57</v>
      </c>
      <c r="AB60" s="37" t="str">
        <f t="shared" si="10"/>
        <v>rokprognozy=2036 i lp=57</v>
      </c>
      <c r="AC60" s="37" t="str">
        <f t="shared" si="12"/>
        <v>rokprognozy=2037 i lp=57</v>
      </c>
      <c r="AD60" s="37" t="str">
        <f t="shared" si="12"/>
        <v>rokprognozy=2038 i lp=57</v>
      </c>
      <c r="AE60" s="37" t="str">
        <f t="shared" si="12"/>
        <v>rokprognozy=2039 i lp=57</v>
      </c>
      <c r="AF60" s="37" t="str">
        <f t="shared" si="12"/>
        <v>rokprognozy=2040 i lp=57</v>
      </c>
      <c r="AG60" s="37" t="str">
        <f t="shared" si="12"/>
        <v>rokprognozy=2041 i lp=57</v>
      </c>
      <c r="AH60" s="37" t="str">
        <f t="shared" si="12"/>
        <v>rokprognozy=2042 i lp=57</v>
      </c>
      <c r="AI60" s="37" t="str">
        <f t="shared" si="12"/>
        <v>rokprognozy=2043 i lp=57</v>
      </c>
      <c r="AJ60" s="37" t="str">
        <f t="shared" si="12"/>
        <v>rokprognozy=2044 i lp=57</v>
      </c>
      <c r="AK60" s="37" t="str">
        <f t="shared" si="12"/>
        <v>rokprognozy=2045 i lp=57</v>
      </c>
      <c r="AL60" s="37" t="str">
        <f t="shared" si="12"/>
        <v>rokprognozy=2046 i lp=57</v>
      </c>
      <c r="AM60" s="37" t="str">
        <f t="shared" si="12"/>
        <v>rokprognozy=2047 i lp=57</v>
      </c>
      <c r="AN60" s="37" t="str">
        <f t="shared" si="12"/>
        <v>rokprognozy=2048 i lp=57</v>
      </c>
      <c r="AO60" s="37" t="str">
        <f t="shared" si="12"/>
        <v>rokprognozy=2049 i lp=57</v>
      </c>
      <c r="AP60" s="37" t="str">
        <f t="shared" si="12"/>
        <v>rokprognozy=2050 i lp=57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/>
  <dimension ref="A1:O323"/>
  <sheetViews>
    <sheetView zoomScalePageLayoutView="0" workbookViewId="0" topLeftCell="A1">
      <selection activeCell="O4" sqref="O4:O323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</cols>
  <sheetData>
    <row r="1" spans="1:13" ht="15">
      <c r="A1" s="28" t="s">
        <v>56</v>
      </c>
      <c r="L1" s="45" t="s">
        <v>83</v>
      </c>
      <c r="M1" s="101">
        <f>MIN(L:L)</f>
        <v>2012</v>
      </c>
    </row>
    <row r="3" spans="1:15" ht="15" thickBot="1">
      <c r="A3" s="42" t="s">
        <v>27</v>
      </c>
      <c r="B3" s="43" t="s">
        <v>28</v>
      </c>
      <c r="C3" s="43" t="s">
        <v>29</v>
      </c>
      <c r="D3" s="43" t="s">
        <v>30</v>
      </c>
      <c r="E3" s="43" t="s">
        <v>31</v>
      </c>
      <c r="F3" s="43" t="s">
        <v>32</v>
      </c>
      <c r="G3" s="43" t="s">
        <v>33</v>
      </c>
      <c r="H3" s="43" t="s">
        <v>34</v>
      </c>
      <c r="I3" s="43" t="s">
        <v>35</v>
      </c>
      <c r="J3" s="43" t="s">
        <v>36</v>
      </c>
      <c r="K3" s="43" t="s">
        <v>37</v>
      </c>
      <c r="L3" s="43" t="s">
        <v>38</v>
      </c>
      <c r="M3" s="43" t="s">
        <v>39</v>
      </c>
      <c r="N3" s="43" t="s">
        <v>43</v>
      </c>
      <c r="O3" s="43" t="s">
        <v>44</v>
      </c>
    </row>
    <row r="4" spans="1:15" ht="14.25">
      <c r="A4" s="97">
        <v>2012</v>
      </c>
      <c r="B4" s="98" t="s">
        <v>196</v>
      </c>
      <c r="C4" s="98" t="s">
        <v>197</v>
      </c>
      <c r="D4" s="99">
        <v>206000</v>
      </c>
      <c r="E4" s="99">
        <v>0</v>
      </c>
      <c r="F4" s="99"/>
      <c r="G4" s="99">
        <v>1</v>
      </c>
      <c r="H4" s="99">
        <v>1</v>
      </c>
      <c r="I4" s="99" t="s">
        <v>198</v>
      </c>
      <c r="J4" s="99" t="s">
        <v>93</v>
      </c>
      <c r="K4" s="99" t="b">
        <v>1</v>
      </c>
      <c r="L4" s="95">
        <v>2014</v>
      </c>
      <c r="M4" s="96">
        <v>67037835</v>
      </c>
      <c r="N4" s="100">
        <v>41064</v>
      </c>
      <c r="O4" s="100">
        <v>41064</v>
      </c>
    </row>
    <row r="5" spans="1:15" ht="14.25">
      <c r="A5" s="97">
        <v>2012</v>
      </c>
      <c r="B5" s="98">
        <v>22012</v>
      </c>
      <c r="C5" s="98" t="s">
        <v>197</v>
      </c>
      <c r="D5" s="99">
        <v>206000</v>
      </c>
      <c r="E5" s="99">
        <v>0</v>
      </c>
      <c r="F5" s="99"/>
      <c r="G5" s="99">
        <v>12</v>
      </c>
      <c r="H5" s="99" t="s">
        <v>112</v>
      </c>
      <c r="I5" s="99"/>
      <c r="J5" s="99" t="s">
        <v>113</v>
      </c>
      <c r="K5" s="99" t="b">
        <v>0</v>
      </c>
      <c r="L5" s="95">
        <v>2015</v>
      </c>
      <c r="M5" s="96">
        <v>538539</v>
      </c>
      <c r="N5" s="100">
        <v>41064</v>
      </c>
      <c r="O5" s="100">
        <v>41064</v>
      </c>
    </row>
    <row r="6" spans="1:15" ht="14.25">
      <c r="A6" s="97">
        <v>2012</v>
      </c>
      <c r="B6" s="98">
        <v>22012</v>
      </c>
      <c r="C6" s="98" t="s">
        <v>197</v>
      </c>
      <c r="D6" s="99">
        <v>206000</v>
      </c>
      <c r="E6" s="99">
        <v>0</v>
      </c>
      <c r="F6" s="99"/>
      <c r="G6" s="99">
        <v>54</v>
      </c>
      <c r="H6" s="99">
        <v>27</v>
      </c>
      <c r="I6" s="99" t="s">
        <v>199</v>
      </c>
      <c r="J6" s="99" t="s">
        <v>46</v>
      </c>
      <c r="K6" s="99" t="b">
        <v>0</v>
      </c>
      <c r="L6" s="95">
        <v>2014</v>
      </c>
      <c r="M6" s="96">
        <v>64639835</v>
      </c>
      <c r="N6" s="100">
        <v>41064</v>
      </c>
      <c r="O6" s="100">
        <v>41064</v>
      </c>
    </row>
    <row r="7" spans="1:15" ht="14.25">
      <c r="A7" s="97">
        <v>2012</v>
      </c>
      <c r="B7" s="98">
        <v>22012</v>
      </c>
      <c r="C7" s="98" t="s">
        <v>197</v>
      </c>
      <c r="D7" s="99">
        <v>206000</v>
      </c>
      <c r="E7" s="99">
        <v>0</v>
      </c>
      <c r="F7" s="99"/>
      <c r="G7" s="99">
        <v>57</v>
      </c>
      <c r="H7" s="99">
        <v>30</v>
      </c>
      <c r="I7" s="99" t="s">
        <v>200</v>
      </c>
      <c r="J7" s="99" t="s">
        <v>153</v>
      </c>
      <c r="K7" s="99" t="b">
        <v>0</v>
      </c>
      <c r="L7" s="95">
        <v>2016</v>
      </c>
      <c r="M7" s="96">
        <v>2798000</v>
      </c>
      <c r="N7" s="100">
        <v>41064</v>
      </c>
      <c r="O7" s="100">
        <v>41064</v>
      </c>
    </row>
    <row r="8" spans="1:15" ht="14.25">
      <c r="A8" s="97">
        <v>2012</v>
      </c>
      <c r="B8" s="98">
        <v>22012</v>
      </c>
      <c r="C8" s="98" t="s">
        <v>197</v>
      </c>
      <c r="D8" s="99">
        <v>206000</v>
      </c>
      <c r="E8" s="99">
        <v>0</v>
      </c>
      <c r="F8" s="99"/>
      <c r="G8" s="99">
        <v>51</v>
      </c>
      <c r="H8" s="99">
        <v>24</v>
      </c>
      <c r="I8" s="99" t="s">
        <v>201</v>
      </c>
      <c r="J8" s="99" t="s">
        <v>150</v>
      </c>
      <c r="K8" s="99" t="b">
        <v>1</v>
      </c>
      <c r="L8" s="95">
        <v>2012</v>
      </c>
      <c r="M8" s="96">
        <v>67656486</v>
      </c>
      <c r="N8" s="100">
        <v>41064</v>
      </c>
      <c r="O8" s="100">
        <v>41064</v>
      </c>
    </row>
    <row r="9" spans="1:15" ht="14.25">
      <c r="A9" s="97">
        <v>2012</v>
      </c>
      <c r="B9" s="98">
        <v>22012</v>
      </c>
      <c r="C9" s="98" t="s">
        <v>197</v>
      </c>
      <c r="D9" s="99">
        <v>206000</v>
      </c>
      <c r="E9" s="99">
        <v>0</v>
      </c>
      <c r="F9" s="99"/>
      <c r="G9" s="99">
        <v>48</v>
      </c>
      <c r="H9" s="99">
        <v>22</v>
      </c>
      <c r="I9" s="99" t="s">
        <v>202</v>
      </c>
      <c r="J9" s="99" t="s">
        <v>77</v>
      </c>
      <c r="K9" s="99" t="b">
        <v>0</v>
      </c>
      <c r="L9" s="95">
        <v>2016</v>
      </c>
      <c r="M9" s="96">
        <v>0.0461</v>
      </c>
      <c r="N9" s="100">
        <v>41064</v>
      </c>
      <c r="O9" s="100">
        <v>41064</v>
      </c>
    </row>
    <row r="10" spans="1:15" ht="14.25">
      <c r="A10" s="97">
        <v>2012</v>
      </c>
      <c r="B10" s="98">
        <v>22012</v>
      </c>
      <c r="C10" s="98" t="s">
        <v>197</v>
      </c>
      <c r="D10" s="99">
        <v>206000</v>
      </c>
      <c r="E10" s="99">
        <v>0</v>
      </c>
      <c r="F10" s="99"/>
      <c r="G10" s="99">
        <v>41</v>
      </c>
      <c r="H10" s="99" t="s">
        <v>143</v>
      </c>
      <c r="I10" s="99" t="s">
        <v>203</v>
      </c>
      <c r="J10" s="99" t="s">
        <v>71</v>
      </c>
      <c r="K10" s="99" t="b">
        <v>0</v>
      </c>
      <c r="L10" s="95">
        <v>2019</v>
      </c>
      <c r="M10" s="96">
        <v>0.019</v>
      </c>
      <c r="N10" s="100">
        <v>41064</v>
      </c>
      <c r="O10" s="100">
        <v>41064</v>
      </c>
    </row>
    <row r="11" spans="1:15" ht="14.25">
      <c r="A11" s="97">
        <v>2012</v>
      </c>
      <c r="B11" s="98">
        <v>22012</v>
      </c>
      <c r="C11" s="98" t="s">
        <v>197</v>
      </c>
      <c r="D11" s="99">
        <v>206000</v>
      </c>
      <c r="E11" s="99">
        <v>0</v>
      </c>
      <c r="F11" s="99"/>
      <c r="G11" s="99">
        <v>49</v>
      </c>
      <c r="H11" s="99" t="s">
        <v>148</v>
      </c>
      <c r="I11" s="99" t="s">
        <v>204</v>
      </c>
      <c r="J11" s="99" t="s">
        <v>79</v>
      </c>
      <c r="K11" s="99" t="b">
        <v>0</v>
      </c>
      <c r="L11" s="95">
        <v>2017</v>
      </c>
      <c r="M11" s="96">
        <v>594</v>
      </c>
      <c r="N11" s="100">
        <v>41064</v>
      </c>
      <c r="O11" s="100">
        <v>41064</v>
      </c>
    </row>
    <row r="12" spans="1:15" ht="14.25">
      <c r="A12" s="97">
        <v>2012</v>
      </c>
      <c r="B12" s="98">
        <v>22012</v>
      </c>
      <c r="C12" s="98" t="s">
        <v>197</v>
      </c>
      <c r="D12" s="99">
        <v>206000</v>
      </c>
      <c r="E12" s="99">
        <v>0</v>
      </c>
      <c r="F12" s="99"/>
      <c r="G12" s="99">
        <v>26</v>
      </c>
      <c r="H12" s="99">
        <v>9</v>
      </c>
      <c r="I12" s="99" t="s">
        <v>205</v>
      </c>
      <c r="J12" s="99" t="s">
        <v>131</v>
      </c>
      <c r="K12" s="99" t="b">
        <v>0</v>
      </c>
      <c r="L12" s="95">
        <v>2015</v>
      </c>
      <c r="M12" s="96">
        <v>2046760</v>
      </c>
      <c r="N12" s="100">
        <v>41064</v>
      </c>
      <c r="O12" s="100">
        <v>41064</v>
      </c>
    </row>
    <row r="13" spans="1:15" ht="14.25">
      <c r="A13" s="97">
        <v>2012</v>
      </c>
      <c r="B13" s="98">
        <v>22012</v>
      </c>
      <c r="C13" s="98" t="s">
        <v>197</v>
      </c>
      <c r="D13" s="99">
        <v>206000</v>
      </c>
      <c r="E13" s="99">
        <v>0</v>
      </c>
      <c r="F13" s="99"/>
      <c r="G13" s="99">
        <v>23</v>
      </c>
      <c r="H13" s="99" t="s">
        <v>126</v>
      </c>
      <c r="I13" s="99"/>
      <c r="J13" s="99" t="s">
        <v>127</v>
      </c>
      <c r="K13" s="99" t="b">
        <v>1</v>
      </c>
      <c r="L13" s="95">
        <v>2017</v>
      </c>
      <c r="M13" s="96">
        <v>384000</v>
      </c>
      <c r="N13" s="100">
        <v>41064</v>
      </c>
      <c r="O13" s="100">
        <v>41064</v>
      </c>
    </row>
    <row r="14" spans="1:15" ht="14.25">
      <c r="A14" s="97">
        <v>2012</v>
      </c>
      <c r="B14" s="98">
        <v>22012</v>
      </c>
      <c r="C14" s="98" t="s">
        <v>197</v>
      </c>
      <c r="D14" s="99">
        <v>206000</v>
      </c>
      <c r="E14" s="99">
        <v>0</v>
      </c>
      <c r="F14" s="99"/>
      <c r="G14" s="99">
        <v>45</v>
      </c>
      <c r="H14" s="99" t="s">
        <v>146</v>
      </c>
      <c r="I14" s="99" t="s">
        <v>206</v>
      </c>
      <c r="J14" s="99" t="s">
        <v>53</v>
      </c>
      <c r="K14" s="99" t="b">
        <v>0</v>
      </c>
      <c r="L14" s="95">
        <v>2019</v>
      </c>
      <c r="M14" s="96">
        <v>0.1044</v>
      </c>
      <c r="N14" s="100">
        <v>41064</v>
      </c>
      <c r="O14" s="100">
        <v>41064</v>
      </c>
    </row>
    <row r="15" spans="1:15" ht="14.25">
      <c r="A15" s="97">
        <v>2012</v>
      </c>
      <c r="B15" s="98">
        <v>22012</v>
      </c>
      <c r="C15" s="98" t="s">
        <v>197</v>
      </c>
      <c r="D15" s="99">
        <v>206000</v>
      </c>
      <c r="E15" s="99">
        <v>0</v>
      </c>
      <c r="F15" s="99"/>
      <c r="G15" s="99">
        <v>1</v>
      </c>
      <c r="H15" s="99">
        <v>1</v>
      </c>
      <c r="I15" s="99" t="s">
        <v>198</v>
      </c>
      <c r="J15" s="99" t="s">
        <v>93</v>
      </c>
      <c r="K15" s="99" t="b">
        <v>1</v>
      </c>
      <c r="L15" s="95">
        <v>2020</v>
      </c>
      <c r="M15" s="96">
        <v>81791988</v>
      </c>
      <c r="N15" s="100">
        <v>41064</v>
      </c>
      <c r="O15" s="100">
        <v>41064</v>
      </c>
    </row>
    <row r="16" spans="1:15" ht="14.25">
      <c r="A16" s="97">
        <v>2012</v>
      </c>
      <c r="B16" s="98">
        <v>22012</v>
      </c>
      <c r="C16" s="98" t="s">
        <v>197</v>
      </c>
      <c r="D16" s="99">
        <v>206000</v>
      </c>
      <c r="E16" s="99">
        <v>0</v>
      </c>
      <c r="F16" s="99"/>
      <c r="G16" s="99">
        <v>47</v>
      </c>
      <c r="H16" s="99" t="s">
        <v>147</v>
      </c>
      <c r="I16" s="99" t="s">
        <v>207</v>
      </c>
      <c r="J16" s="99" t="s">
        <v>76</v>
      </c>
      <c r="K16" s="99" t="b">
        <v>0</v>
      </c>
      <c r="L16" s="95">
        <v>2015</v>
      </c>
      <c r="M16" s="96">
        <v>41</v>
      </c>
      <c r="N16" s="100">
        <v>41064</v>
      </c>
      <c r="O16" s="100">
        <v>41064</v>
      </c>
    </row>
    <row r="17" spans="1:15" ht="14.25">
      <c r="A17" s="97">
        <v>2012</v>
      </c>
      <c r="B17" s="98">
        <v>22012</v>
      </c>
      <c r="C17" s="98" t="s">
        <v>197</v>
      </c>
      <c r="D17" s="99">
        <v>206000</v>
      </c>
      <c r="E17" s="99">
        <v>0</v>
      </c>
      <c r="F17" s="99"/>
      <c r="G17" s="99">
        <v>34</v>
      </c>
      <c r="H17" s="99" t="s">
        <v>137</v>
      </c>
      <c r="I17" s="99"/>
      <c r="J17" s="99" t="s">
        <v>138</v>
      </c>
      <c r="K17" s="99" t="b">
        <v>1</v>
      </c>
      <c r="L17" s="95">
        <v>2012</v>
      </c>
      <c r="M17" s="96">
        <v>578000</v>
      </c>
      <c r="N17" s="100">
        <v>41064</v>
      </c>
      <c r="O17" s="100">
        <v>41064</v>
      </c>
    </row>
    <row r="18" spans="1:15" ht="14.25">
      <c r="A18" s="97">
        <v>2012</v>
      </c>
      <c r="B18" s="98">
        <v>22012</v>
      </c>
      <c r="C18" s="98" t="s">
        <v>197</v>
      </c>
      <c r="D18" s="99">
        <v>206000</v>
      </c>
      <c r="E18" s="99">
        <v>0</v>
      </c>
      <c r="F18" s="99"/>
      <c r="G18" s="99">
        <v>51</v>
      </c>
      <c r="H18" s="99">
        <v>24</v>
      </c>
      <c r="I18" s="99" t="s">
        <v>201</v>
      </c>
      <c r="J18" s="99" t="s">
        <v>150</v>
      </c>
      <c r="K18" s="99" t="b">
        <v>1</v>
      </c>
      <c r="L18" s="95">
        <v>2019</v>
      </c>
      <c r="M18" s="96">
        <v>69175647</v>
      </c>
      <c r="N18" s="100">
        <v>41064</v>
      </c>
      <c r="O18" s="100">
        <v>41064</v>
      </c>
    </row>
    <row r="19" spans="1:15" ht="14.25">
      <c r="A19" s="97">
        <v>2012</v>
      </c>
      <c r="B19" s="98">
        <v>22012</v>
      </c>
      <c r="C19" s="98" t="s">
        <v>197</v>
      </c>
      <c r="D19" s="99">
        <v>206000</v>
      </c>
      <c r="E19" s="99">
        <v>0</v>
      </c>
      <c r="F19" s="99"/>
      <c r="G19" s="99">
        <v>55</v>
      </c>
      <c r="H19" s="99">
        <v>28</v>
      </c>
      <c r="I19" s="99" t="s">
        <v>208</v>
      </c>
      <c r="J19" s="99" t="s">
        <v>48</v>
      </c>
      <c r="K19" s="99" t="b">
        <v>0</v>
      </c>
      <c r="L19" s="95">
        <v>2018</v>
      </c>
      <c r="M19" s="96">
        <v>1998000</v>
      </c>
      <c r="N19" s="100">
        <v>41064</v>
      </c>
      <c r="O19" s="100">
        <v>41064</v>
      </c>
    </row>
    <row r="20" spans="1:15" ht="14.25">
      <c r="A20" s="97">
        <v>2012</v>
      </c>
      <c r="B20" s="98">
        <v>22012</v>
      </c>
      <c r="C20" s="98" t="s">
        <v>197</v>
      </c>
      <c r="D20" s="99">
        <v>206000</v>
      </c>
      <c r="E20" s="99">
        <v>0</v>
      </c>
      <c r="F20" s="99"/>
      <c r="G20" s="99">
        <v>46</v>
      </c>
      <c r="H20" s="99">
        <v>21</v>
      </c>
      <c r="I20" s="99" t="s">
        <v>209</v>
      </c>
      <c r="J20" s="99" t="s">
        <v>54</v>
      </c>
      <c r="K20" s="99" t="b">
        <v>1</v>
      </c>
      <c r="L20" s="95">
        <v>2016</v>
      </c>
      <c r="M20" s="96">
        <v>0.0461</v>
      </c>
      <c r="N20" s="100">
        <v>41064</v>
      </c>
      <c r="O20" s="100">
        <v>41064</v>
      </c>
    </row>
    <row r="21" spans="1:15" ht="14.25">
      <c r="A21" s="97">
        <v>2012</v>
      </c>
      <c r="B21" s="98">
        <v>22012</v>
      </c>
      <c r="C21" s="98" t="s">
        <v>197</v>
      </c>
      <c r="D21" s="99">
        <v>206000</v>
      </c>
      <c r="E21" s="99">
        <v>0</v>
      </c>
      <c r="F21" s="99"/>
      <c r="G21" s="99">
        <v>55</v>
      </c>
      <c r="H21" s="99">
        <v>28</v>
      </c>
      <c r="I21" s="99" t="s">
        <v>208</v>
      </c>
      <c r="J21" s="99" t="s">
        <v>48</v>
      </c>
      <c r="K21" s="99" t="b">
        <v>0</v>
      </c>
      <c r="L21" s="95">
        <v>2017</v>
      </c>
      <c r="M21" s="96">
        <v>1498000</v>
      </c>
      <c r="N21" s="100">
        <v>41064</v>
      </c>
      <c r="O21" s="100">
        <v>41064</v>
      </c>
    </row>
    <row r="22" spans="1:15" ht="14.25">
      <c r="A22" s="97">
        <v>2012</v>
      </c>
      <c r="B22" s="98">
        <v>22012</v>
      </c>
      <c r="C22" s="98" t="s">
        <v>197</v>
      </c>
      <c r="D22" s="99">
        <v>206000</v>
      </c>
      <c r="E22" s="99">
        <v>0</v>
      </c>
      <c r="F22" s="99"/>
      <c r="G22" s="99">
        <v>19</v>
      </c>
      <c r="H22" s="99">
        <v>6</v>
      </c>
      <c r="I22" s="99" t="s">
        <v>210</v>
      </c>
      <c r="J22" s="99" t="s">
        <v>121</v>
      </c>
      <c r="K22" s="99" t="b">
        <v>0</v>
      </c>
      <c r="L22" s="95">
        <v>2019</v>
      </c>
      <c r="M22" s="96">
        <v>10022428</v>
      </c>
      <c r="N22" s="100">
        <v>41064</v>
      </c>
      <c r="O22" s="100">
        <v>41064</v>
      </c>
    </row>
    <row r="23" spans="1:15" ht="14.25">
      <c r="A23" s="97">
        <v>2012</v>
      </c>
      <c r="B23" s="98">
        <v>22012</v>
      </c>
      <c r="C23" s="98" t="s">
        <v>197</v>
      </c>
      <c r="D23" s="99">
        <v>206000</v>
      </c>
      <c r="E23" s="99">
        <v>0</v>
      </c>
      <c r="F23" s="99"/>
      <c r="G23" s="99">
        <v>48</v>
      </c>
      <c r="H23" s="99">
        <v>22</v>
      </c>
      <c r="I23" s="99" t="s">
        <v>202</v>
      </c>
      <c r="J23" s="99" t="s">
        <v>77</v>
      </c>
      <c r="K23" s="99" t="b">
        <v>0</v>
      </c>
      <c r="L23" s="95">
        <v>2012</v>
      </c>
      <c r="M23" s="96">
        <v>0.0652</v>
      </c>
      <c r="N23" s="100">
        <v>41064</v>
      </c>
      <c r="O23" s="100">
        <v>41064</v>
      </c>
    </row>
    <row r="24" spans="1:15" ht="14.25">
      <c r="A24" s="97">
        <v>2012</v>
      </c>
      <c r="B24" s="98">
        <v>22012</v>
      </c>
      <c r="C24" s="98" t="s">
        <v>197</v>
      </c>
      <c r="D24" s="99">
        <v>206000</v>
      </c>
      <c r="E24" s="99">
        <v>0</v>
      </c>
      <c r="F24" s="99"/>
      <c r="G24" s="99">
        <v>3</v>
      </c>
      <c r="H24" s="99" t="s">
        <v>96</v>
      </c>
      <c r="I24" s="99"/>
      <c r="J24" s="99" t="s">
        <v>97</v>
      </c>
      <c r="K24" s="99" t="b">
        <v>1</v>
      </c>
      <c r="L24" s="95">
        <v>2013</v>
      </c>
      <c r="M24" s="96">
        <v>171278</v>
      </c>
      <c r="N24" s="100">
        <v>41064</v>
      </c>
      <c r="O24" s="100">
        <v>41064</v>
      </c>
    </row>
    <row r="25" spans="1:15" ht="14.25">
      <c r="A25" s="97">
        <v>2012</v>
      </c>
      <c r="B25" s="98">
        <v>22012</v>
      </c>
      <c r="C25" s="98" t="s">
        <v>197</v>
      </c>
      <c r="D25" s="99">
        <v>206000</v>
      </c>
      <c r="E25" s="99">
        <v>0</v>
      </c>
      <c r="F25" s="99"/>
      <c r="G25" s="99">
        <v>41</v>
      </c>
      <c r="H25" s="99" t="s">
        <v>143</v>
      </c>
      <c r="I25" s="99" t="s">
        <v>203</v>
      </c>
      <c r="J25" s="99" t="s">
        <v>71</v>
      </c>
      <c r="K25" s="99" t="b">
        <v>0</v>
      </c>
      <c r="L25" s="95">
        <v>2014</v>
      </c>
      <c r="M25" s="96">
        <v>0.204</v>
      </c>
      <c r="N25" s="100">
        <v>41064</v>
      </c>
      <c r="O25" s="100">
        <v>41064</v>
      </c>
    </row>
    <row r="26" spans="1:15" ht="14.25">
      <c r="A26" s="97">
        <v>2012</v>
      </c>
      <c r="B26" s="98">
        <v>22012</v>
      </c>
      <c r="C26" s="98" t="s">
        <v>197</v>
      </c>
      <c r="D26" s="99">
        <v>206000</v>
      </c>
      <c r="E26" s="99">
        <v>0</v>
      </c>
      <c r="F26" s="99"/>
      <c r="G26" s="99">
        <v>39</v>
      </c>
      <c r="H26" s="99" t="s">
        <v>141</v>
      </c>
      <c r="I26" s="99"/>
      <c r="J26" s="99" t="s">
        <v>142</v>
      </c>
      <c r="K26" s="99" t="b">
        <v>1</v>
      </c>
      <c r="L26" s="95">
        <v>2016</v>
      </c>
      <c r="M26" s="96">
        <v>1085243</v>
      </c>
      <c r="N26" s="100">
        <v>41064</v>
      </c>
      <c r="O26" s="100">
        <v>41064</v>
      </c>
    </row>
    <row r="27" spans="1:15" ht="14.25">
      <c r="A27" s="97">
        <v>2012</v>
      </c>
      <c r="B27" s="98">
        <v>22012</v>
      </c>
      <c r="C27" s="98" t="s">
        <v>197</v>
      </c>
      <c r="D27" s="99">
        <v>206000</v>
      </c>
      <c r="E27" s="99">
        <v>0</v>
      </c>
      <c r="F27" s="99"/>
      <c r="G27" s="99">
        <v>53</v>
      </c>
      <c r="H27" s="99">
        <v>26</v>
      </c>
      <c r="I27" s="99" t="s">
        <v>211</v>
      </c>
      <c r="J27" s="99" t="s">
        <v>151</v>
      </c>
      <c r="K27" s="99" t="b">
        <v>1</v>
      </c>
      <c r="L27" s="95">
        <v>2012</v>
      </c>
      <c r="M27" s="96">
        <v>69885258</v>
      </c>
      <c r="N27" s="100">
        <v>41064</v>
      </c>
      <c r="O27" s="100">
        <v>41064</v>
      </c>
    </row>
    <row r="28" spans="1:15" ht="14.25">
      <c r="A28" s="97">
        <v>2012</v>
      </c>
      <c r="B28" s="98">
        <v>22012</v>
      </c>
      <c r="C28" s="98" t="s">
        <v>197</v>
      </c>
      <c r="D28" s="99">
        <v>206000</v>
      </c>
      <c r="E28" s="99">
        <v>0</v>
      </c>
      <c r="F28" s="99"/>
      <c r="G28" s="99">
        <v>27</v>
      </c>
      <c r="H28" s="99">
        <v>10</v>
      </c>
      <c r="I28" s="99"/>
      <c r="J28" s="99" t="s">
        <v>18</v>
      </c>
      <c r="K28" s="99" t="b">
        <v>0</v>
      </c>
      <c r="L28" s="95">
        <v>2013</v>
      </c>
      <c r="M28" s="96">
        <v>3434023</v>
      </c>
      <c r="N28" s="100">
        <v>41064</v>
      </c>
      <c r="O28" s="100">
        <v>41064</v>
      </c>
    </row>
    <row r="29" spans="1:15" ht="14.25">
      <c r="A29" s="97">
        <v>2012</v>
      </c>
      <c r="B29" s="98">
        <v>22012</v>
      </c>
      <c r="C29" s="98" t="s">
        <v>197</v>
      </c>
      <c r="D29" s="99">
        <v>206000</v>
      </c>
      <c r="E29" s="99">
        <v>0</v>
      </c>
      <c r="F29" s="99"/>
      <c r="G29" s="99">
        <v>8</v>
      </c>
      <c r="H29" s="99" t="s">
        <v>104</v>
      </c>
      <c r="I29" s="99"/>
      <c r="J29" s="99" t="s">
        <v>105</v>
      </c>
      <c r="K29" s="99" t="b">
        <v>0</v>
      </c>
      <c r="L29" s="95">
        <v>2013</v>
      </c>
      <c r="M29" s="96">
        <v>29109540</v>
      </c>
      <c r="N29" s="100">
        <v>41064</v>
      </c>
      <c r="O29" s="100">
        <v>41064</v>
      </c>
    </row>
    <row r="30" spans="1:15" ht="14.25">
      <c r="A30" s="97">
        <v>2012</v>
      </c>
      <c r="B30" s="98">
        <v>22012</v>
      </c>
      <c r="C30" s="98" t="s">
        <v>197</v>
      </c>
      <c r="D30" s="99">
        <v>206000</v>
      </c>
      <c r="E30" s="99">
        <v>0</v>
      </c>
      <c r="F30" s="99"/>
      <c r="G30" s="99">
        <v>52</v>
      </c>
      <c r="H30" s="99">
        <v>25</v>
      </c>
      <c r="I30" s="99" t="s">
        <v>212</v>
      </c>
      <c r="J30" s="99" t="s">
        <v>49</v>
      </c>
      <c r="K30" s="99" t="b">
        <v>1</v>
      </c>
      <c r="L30" s="95">
        <v>2014</v>
      </c>
      <c r="M30" s="96">
        <v>4724165</v>
      </c>
      <c r="N30" s="100">
        <v>41064</v>
      </c>
      <c r="O30" s="100">
        <v>41064</v>
      </c>
    </row>
    <row r="31" spans="1:15" ht="14.25">
      <c r="A31" s="97">
        <v>2012</v>
      </c>
      <c r="B31" s="98">
        <v>22012</v>
      </c>
      <c r="C31" s="98" t="s">
        <v>197</v>
      </c>
      <c r="D31" s="99">
        <v>206000</v>
      </c>
      <c r="E31" s="99">
        <v>0</v>
      </c>
      <c r="F31" s="99"/>
      <c r="G31" s="99">
        <v>48</v>
      </c>
      <c r="H31" s="99">
        <v>22</v>
      </c>
      <c r="I31" s="99" t="s">
        <v>202</v>
      </c>
      <c r="J31" s="99" t="s">
        <v>77</v>
      </c>
      <c r="K31" s="99" t="b">
        <v>0</v>
      </c>
      <c r="L31" s="95">
        <v>2017</v>
      </c>
      <c r="M31" s="96">
        <v>0.0255</v>
      </c>
      <c r="N31" s="100">
        <v>41064</v>
      </c>
      <c r="O31" s="100">
        <v>41064</v>
      </c>
    </row>
    <row r="32" spans="1:15" ht="14.25">
      <c r="A32" s="97">
        <v>2012</v>
      </c>
      <c r="B32" s="98">
        <v>22012</v>
      </c>
      <c r="C32" s="98" t="s">
        <v>197</v>
      </c>
      <c r="D32" s="99">
        <v>206000</v>
      </c>
      <c r="E32" s="99">
        <v>0</v>
      </c>
      <c r="F32" s="99"/>
      <c r="G32" s="99">
        <v>52</v>
      </c>
      <c r="H32" s="99">
        <v>25</v>
      </c>
      <c r="I32" s="99" t="s">
        <v>212</v>
      </c>
      <c r="J32" s="99" t="s">
        <v>49</v>
      </c>
      <c r="K32" s="99" t="b">
        <v>1</v>
      </c>
      <c r="L32" s="95">
        <v>2018</v>
      </c>
      <c r="M32" s="96">
        <v>8752064</v>
      </c>
      <c r="N32" s="100">
        <v>41064</v>
      </c>
      <c r="O32" s="100">
        <v>41064</v>
      </c>
    </row>
    <row r="33" spans="1:15" ht="14.25">
      <c r="A33" s="97">
        <v>2012</v>
      </c>
      <c r="B33" s="98">
        <v>22012</v>
      </c>
      <c r="C33" s="98" t="s">
        <v>197</v>
      </c>
      <c r="D33" s="99">
        <v>206000</v>
      </c>
      <c r="E33" s="99">
        <v>0</v>
      </c>
      <c r="F33" s="99"/>
      <c r="G33" s="99">
        <v>38</v>
      </c>
      <c r="H33" s="99">
        <v>17</v>
      </c>
      <c r="I33" s="99"/>
      <c r="J33" s="99" t="s">
        <v>91</v>
      </c>
      <c r="K33" s="99" t="b">
        <v>1</v>
      </c>
      <c r="L33" s="95">
        <v>2013</v>
      </c>
      <c r="M33" s="96">
        <v>2668225</v>
      </c>
      <c r="N33" s="100">
        <v>41064</v>
      </c>
      <c r="O33" s="100">
        <v>41064</v>
      </c>
    </row>
    <row r="34" spans="1:15" ht="14.25">
      <c r="A34" s="97">
        <v>2012</v>
      </c>
      <c r="B34" s="98">
        <v>22012</v>
      </c>
      <c r="C34" s="98" t="s">
        <v>197</v>
      </c>
      <c r="D34" s="99">
        <v>206000</v>
      </c>
      <c r="E34" s="99">
        <v>0</v>
      </c>
      <c r="F34" s="99"/>
      <c r="G34" s="99">
        <v>46</v>
      </c>
      <c r="H34" s="99">
        <v>21</v>
      </c>
      <c r="I34" s="99" t="s">
        <v>209</v>
      </c>
      <c r="J34" s="99" t="s">
        <v>54</v>
      </c>
      <c r="K34" s="99" t="b">
        <v>1</v>
      </c>
      <c r="L34" s="95">
        <v>2013</v>
      </c>
      <c r="M34" s="96">
        <v>0.0609</v>
      </c>
      <c r="N34" s="100">
        <v>41064</v>
      </c>
      <c r="O34" s="100">
        <v>41064</v>
      </c>
    </row>
    <row r="35" spans="1:15" ht="14.25">
      <c r="A35" s="97">
        <v>2012</v>
      </c>
      <c r="B35" s="98">
        <v>22012</v>
      </c>
      <c r="C35" s="98" t="s">
        <v>197</v>
      </c>
      <c r="D35" s="99">
        <v>206000</v>
      </c>
      <c r="E35" s="99">
        <v>0</v>
      </c>
      <c r="F35" s="99"/>
      <c r="G35" s="99">
        <v>14</v>
      </c>
      <c r="H35" s="99">
        <v>3</v>
      </c>
      <c r="I35" s="99" t="s">
        <v>213</v>
      </c>
      <c r="J35" s="99" t="s">
        <v>116</v>
      </c>
      <c r="K35" s="99" t="b">
        <v>1</v>
      </c>
      <c r="L35" s="95">
        <v>2020</v>
      </c>
      <c r="M35" s="96">
        <v>11063249</v>
      </c>
      <c r="N35" s="100">
        <v>41064</v>
      </c>
      <c r="O35" s="100">
        <v>41064</v>
      </c>
    </row>
    <row r="36" spans="1:15" ht="14.25">
      <c r="A36" s="97">
        <v>2012</v>
      </c>
      <c r="B36" s="98">
        <v>22012</v>
      </c>
      <c r="C36" s="98" t="s">
        <v>197</v>
      </c>
      <c r="D36" s="99">
        <v>206000</v>
      </c>
      <c r="E36" s="99">
        <v>0</v>
      </c>
      <c r="F36" s="99"/>
      <c r="G36" s="99">
        <v>55</v>
      </c>
      <c r="H36" s="99">
        <v>28</v>
      </c>
      <c r="I36" s="99" t="s">
        <v>208</v>
      </c>
      <c r="J36" s="99" t="s">
        <v>48</v>
      </c>
      <c r="K36" s="99" t="b">
        <v>0</v>
      </c>
      <c r="L36" s="95">
        <v>2015</v>
      </c>
      <c r="M36" s="96">
        <v>3648000</v>
      </c>
      <c r="N36" s="100">
        <v>41064</v>
      </c>
      <c r="O36" s="100">
        <v>41064</v>
      </c>
    </row>
    <row r="37" spans="1:15" ht="14.25">
      <c r="A37" s="97">
        <v>2012</v>
      </c>
      <c r="B37" s="98">
        <v>22012</v>
      </c>
      <c r="C37" s="98" t="s">
        <v>197</v>
      </c>
      <c r="D37" s="99">
        <v>206000</v>
      </c>
      <c r="E37" s="99">
        <v>0</v>
      </c>
      <c r="F37" s="99"/>
      <c r="G37" s="99">
        <v>48</v>
      </c>
      <c r="H37" s="99">
        <v>22</v>
      </c>
      <c r="I37" s="99" t="s">
        <v>202</v>
      </c>
      <c r="J37" s="99" t="s">
        <v>77</v>
      </c>
      <c r="K37" s="99" t="b">
        <v>0</v>
      </c>
      <c r="L37" s="95">
        <v>2015</v>
      </c>
      <c r="M37" s="96">
        <v>0.0625</v>
      </c>
      <c r="N37" s="100">
        <v>41064</v>
      </c>
      <c r="O37" s="100">
        <v>41064</v>
      </c>
    </row>
    <row r="38" spans="1:15" ht="14.25">
      <c r="A38" s="97">
        <v>2012</v>
      </c>
      <c r="B38" s="98">
        <v>22012</v>
      </c>
      <c r="C38" s="98" t="s">
        <v>197</v>
      </c>
      <c r="D38" s="99">
        <v>206000</v>
      </c>
      <c r="E38" s="99">
        <v>0</v>
      </c>
      <c r="F38" s="99"/>
      <c r="G38" s="99">
        <v>52</v>
      </c>
      <c r="H38" s="99">
        <v>25</v>
      </c>
      <c r="I38" s="99" t="s">
        <v>212</v>
      </c>
      <c r="J38" s="99" t="s">
        <v>49</v>
      </c>
      <c r="K38" s="99" t="b">
        <v>1</v>
      </c>
      <c r="L38" s="95">
        <v>2015</v>
      </c>
      <c r="M38" s="96">
        <v>5694760</v>
      </c>
      <c r="N38" s="100">
        <v>41064</v>
      </c>
      <c r="O38" s="100">
        <v>41064</v>
      </c>
    </row>
    <row r="39" spans="1:15" ht="14.25">
      <c r="A39" s="97">
        <v>2012</v>
      </c>
      <c r="B39" s="98">
        <v>22012</v>
      </c>
      <c r="C39" s="98" t="s">
        <v>197</v>
      </c>
      <c r="D39" s="99">
        <v>206000</v>
      </c>
      <c r="E39" s="99">
        <v>0</v>
      </c>
      <c r="F39" s="99"/>
      <c r="G39" s="99">
        <v>41</v>
      </c>
      <c r="H39" s="99" t="s">
        <v>143</v>
      </c>
      <c r="I39" s="99" t="s">
        <v>203</v>
      </c>
      <c r="J39" s="99" t="s">
        <v>71</v>
      </c>
      <c r="K39" s="99" t="b">
        <v>0</v>
      </c>
      <c r="L39" s="95">
        <v>2013</v>
      </c>
      <c r="M39" s="96">
        <v>0.2443</v>
      </c>
      <c r="N39" s="100">
        <v>41064</v>
      </c>
      <c r="O39" s="100">
        <v>41064</v>
      </c>
    </row>
    <row r="40" spans="1:15" ht="14.25">
      <c r="A40" s="97">
        <v>2012</v>
      </c>
      <c r="B40" s="98">
        <v>22012</v>
      </c>
      <c r="C40" s="98" t="s">
        <v>197</v>
      </c>
      <c r="D40" s="99">
        <v>206000</v>
      </c>
      <c r="E40" s="99">
        <v>0</v>
      </c>
      <c r="F40" s="99"/>
      <c r="G40" s="99">
        <v>26</v>
      </c>
      <c r="H40" s="99">
        <v>9</v>
      </c>
      <c r="I40" s="99" t="s">
        <v>205</v>
      </c>
      <c r="J40" s="99" t="s">
        <v>131</v>
      </c>
      <c r="K40" s="99" t="b">
        <v>0</v>
      </c>
      <c r="L40" s="95">
        <v>2020</v>
      </c>
      <c r="M40" s="96">
        <v>9492249</v>
      </c>
      <c r="N40" s="100">
        <v>41064</v>
      </c>
      <c r="O40" s="100">
        <v>41064</v>
      </c>
    </row>
    <row r="41" spans="1:15" ht="14.25">
      <c r="A41" s="97">
        <v>2012</v>
      </c>
      <c r="B41" s="98">
        <v>22012</v>
      </c>
      <c r="C41" s="98" t="s">
        <v>197</v>
      </c>
      <c r="D41" s="99">
        <v>206000</v>
      </c>
      <c r="E41" s="99">
        <v>0</v>
      </c>
      <c r="F41" s="99"/>
      <c r="G41" s="99">
        <v>9</v>
      </c>
      <c r="H41" s="99" t="s">
        <v>106</v>
      </c>
      <c r="I41" s="99"/>
      <c r="J41" s="99" t="s">
        <v>107</v>
      </c>
      <c r="K41" s="99" t="b">
        <v>0</v>
      </c>
      <c r="L41" s="95">
        <v>2013</v>
      </c>
      <c r="M41" s="96">
        <v>7400000</v>
      </c>
      <c r="N41" s="100">
        <v>41064</v>
      </c>
      <c r="O41" s="100">
        <v>41064</v>
      </c>
    </row>
    <row r="42" spans="1:15" ht="14.25">
      <c r="A42" s="97">
        <v>2012</v>
      </c>
      <c r="B42" s="98">
        <v>22012</v>
      </c>
      <c r="C42" s="98" t="s">
        <v>197</v>
      </c>
      <c r="D42" s="99">
        <v>206000</v>
      </c>
      <c r="E42" s="99">
        <v>0</v>
      </c>
      <c r="F42" s="99"/>
      <c r="G42" s="99">
        <v>55</v>
      </c>
      <c r="H42" s="99">
        <v>28</v>
      </c>
      <c r="I42" s="99" t="s">
        <v>208</v>
      </c>
      <c r="J42" s="99" t="s">
        <v>48</v>
      </c>
      <c r="K42" s="99" t="b">
        <v>0</v>
      </c>
      <c r="L42" s="95">
        <v>2012</v>
      </c>
      <c r="M42" s="96">
        <v>875866</v>
      </c>
      <c r="N42" s="100">
        <v>41064</v>
      </c>
      <c r="O42" s="100">
        <v>41064</v>
      </c>
    </row>
    <row r="43" spans="1:15" ht="14.25">
      <c r="A43" s="97">
        <v>2012</v>
      </c>
      <c r="B43" s="98">
        <v>22012</v>
      </c>
      <c r="C43" s="98" t="s">
        <v>197</v>
      </c>
      <c r="D43" s="99">
        <v>206000</v>
      </c>
      <c r="E43" s="99">
        <v>0</v>
      </c>
      <c r="F43" s="99"/>
      <c r="G43" s="99">
        <v>45</v>
      </c>
      <c r="H43" s="99" t="s">
        <v>146</v>
      </c>
      <c r="I43" s="99" t="s">
        <v>206</v>
      </c>
      <c r="J43" s="99" t="s">
        <v>53</v>
      </c>
      <c r="K43" s="99" t="b">
        <v>0</v>
      </c>
      <c r="L43" s="95">
        <v>2013</v>
      </c>
      <c r="M43" s="96">
        <v>0.0402</v>
      </c>
      <c r="N43" s="100">
        <v>41064</v>
      </c>
      <c r="O43" s="100">
        <v>41064</v>
      </c>
    </row>
    <row r="44" spans="1:15" ht="14.25">
      <c r="A44" s="97">
        <v>2012</v>
      </c>
      <c r="B44" s="98">
        <v>22012</v>
      </c>
      <c r="C44" s="98" t="s">
        <v>197</v>
      </c>
      <c r="D44" s="99">
        <v>206000</v>
      </c>
      <c r="E44" s="99">
        <v>0</v>
      </c>
      <c r="F44" s="99"/>
      <c r="G44" s="99">
        <v>47</v>
      </c>
      <c r="H44" s="99" t="s">
        <v>147</v>
      </c>
      <c r="I44" s="99" t="s">
        <v>207</v>
      </c>
      <c r="J44" s="99" t="s">
        <v>76</v>
      </c>
      <c r="K44" s="99" t="b">
        <v>0</v>
      </c>
      <c r="L44" s="95">
        <v>2014</v>
      </c>
      <c r="M44" s="96">
        <v>10</v>
      </c>
      <c r="N44" s="100">
        <v>41064</v>
      </c>
      <c r="O44" s="100">
        <v>41064</v>
      </c>
    </row>
    <row r="45" spans="1:15" ht="14.25">
      <c r="A45" s="97">
        <v>2012</v>
      </c>
      <c r="B45" s="98">
        <v>22012</v>
      </c>
      <c r="C45" s="98" t="s">
        <v>197</v>
      </c>
      <c r="D45" s="99">
        <v>206000</v>
      </c>
      <c r="E45" s="99">
        <v>0</v>
      </c>
      <c r="F45" s="99"/>
      <c r="G45" s="99">
        <v>52</v>
      </c>
      <c r="H45" s="99">
        <v>25</v>
      </c>
      <c r="I45" s="99" t="s">
        <v>212</v>
      </c>
      <c r="J45" s="99" t="s">
        <v>49</v>
      </c>
      <c r="K45" s="99" t="b">
        <v>1</v>
      </c>
      <c r="L45" s="95">
        <v>2016</v>
      </c>
      <c r="M45" s="96">
        <v>6711246</v>
      </c>
      <c r="N45" s="100">
        <v>41064</v>
      </c>
      <c r="O45" s="100">
        <v>41064</v>
      </c>
    </row>
    <row r="46" spans="1:15" ht="14.25">
      <c r="A46" s="97">
        <v>2012</v>
      </c>
      <c r="B46" s="98">
        <v>22012</v>
      </c>
      <c r="C46" s="98" t="s">
        <v>197</v>
      </c>
      <c r="D46" s="99">
        <v>206000</v>
      </c>
      <c r="E46" s="99">
        <v>0</v>
      </c>
      <c r="F46" s="99"/>
      <c r="G46" s="99">
        <v>9</v>
      </c>
      <c r="H46" s="99" t="s">
        <v>106</v>
      </c>
      <c r="I46" s="99"/>
      <c r="J46" s="99" t="s">
        <v>107</v>
      </c>
      <c r="K46" s="99" t="b">
        <v>0</v>
      </c>
      <c r="L46" s="95">
        <v>2018</v>
      </c>
      <c r="M46" s="96">
        <v>8017007</v>
      </c>
      <c r="N46" s="100">
        <v>41064</v>
      </c>
      <c r="O46" s="100">
        <v>41064</v>
      </c>
    </row>
    <row r="47" spans="1:15" ht="14.25">
      <c r="A47" s="97">
        <v>2012</v>
      </c>
      <c r="B47" s="98">
        <v>22012</v>
      </c>
      <c r="C47" s="98" t="s">
        <v>197</v>
      </c>
      <c r="D47" s="99">
        <v>206000</v>
      </c>
      <c r="E47" s="99">
        <v>0</v>
      </c>
      <c r="F47" s="99"/>
      <c r="G47" s="99">
        <v>38</v>
      </c>
      <c r="H47" s="99">
        <v>17</v>
      </c>
      <c r="I47" s="99"/>
      <c r="J47" s="99" t="s">
        <v>91</v>
      </c>
      <c r="K47" s="99" t="b">
        <v>1</v>
      </c>
      <c r="L47" s="95">
        <v>2015</v>
      </c>
      <c r="M47" s="96">
        <v>1649153</v>
      </c>
      <c r="N47" s="100">
        <v>41064</v>
      </c>
      <c r="O47" s="100">
        <v>41064</v>
      </c>
    </row>
    <row r="48" spans="1:15" ht="14.25">
      <c r="A48" s="97">
        <v>2012</v>
      </c>
      <c r="B48" s="98">
        <v>22012</v>
      </c>
      <c r="C48" s="98" t="s">
        <v>197</v>
      </c>
      <c r="D48" s="99">
        <v>206000</v>
      </c>
      <c r="E48" s="99">
        <v>0</v>
      </c>
      <c r="F48" s="99"/>
      <c r="G48" s="99">
        <v>47</v>
      </c>
      <c r="H48" s="99" t="s">
        <v>147</v>
      </c>
      <c r="I48" s="99" t="s">
        <v>207</v>
      </c>
      <c r="J48" s="99" t="s">
        <v>76</v>
      </c>
      <c r="K48" s="99" t="b">
        <v>0</v>
      </c>
      <c r="L48" s="95">
        <v>2013</v>
      </c>
      <c r="M48" s="96">
        <v>-207</v>
      </c>
      <c r="N48" s="100">
        <v>41064</v>
      </c>
      <c r="O48" s="100">
        <v>41064</v>
      </c>
    </row>
    <row r="49" spans="1:15" ht="14.25">
      <c r="A49" s="97">
        <v>2012</v>
      </c>
      <c r="B49" s="98">
        <v>22012</v>
      </c>
      <c r="C49" s="98" t="s">
        <v>197</v>
      </c>
      <c r="D49" s="99">
        <v>206000</v>
      </c>
      <c r="E49" s="99">
        <v>0</v>
      </c>
      <c r="F49" s="99"/>
      <c r="G49" s="99">
        <v>49</v>
      </c>
      <c r="H49" s="99" t="s">
        <v>148</v>
      </c>
      <c r="I49" s="99" t="s">
        <v>204</v>
      </c>
      <c r="J49" s="99" t="s">
        <v>79</v>
      </c>
      <c r="K49" s="99" t="b">
        <v>0</v>
      </c>
      <c r="L49" s="95">
        <v>2012</v>
      </c>
      <c r="M49" s="96">
        <v>-451</v>
      </c>
      <c r="N49" s="100">
        <v>41064</v>
      </c>
      <c r="O49" s="100">
        <v>41064</v>
      </c>
    </row>
    <row r="50" spans="1:15" ht="14.25">
      <c r="A50" s="97">
        <v>2012</v>
      </c>
      <c r="B50" s="98">
        <v>22012</v>
      </c>
      <c r="C50" s="98" t="s">
        <v>197</v>
      </c>
      <c r="D50" s="99">
        <v>206000</v>
      </c>
      <c r="E50" s="99">
        <v>0</v>
      </c>
      <c r="F50" s="99"/>
      <c r="G50" s="99">
        <v>9</v>
      </c>
      <c r="H50" s="99" t="s">
        <v>106</v>
      </c>
      <c r="I50" s="99"/>
      <c r="J50" s="99" t="s">
        <v>107</v>
      </c>
      <c r="K50" s="99" t="b">
        <v>0</v>
      </c>
      <c r="L50" s="95">
        <v>2019</v>
      </c>
      <c r="M50" s="96">
        <v>8177347</v>
      </c>
      <c r="N50" s="100">
        <v>41064</v>
      </c>
      <c r="O50" s="100">
        <v>41064</v>
      </c>
    </row>
    <row r="51" spans="1:15" ht="14.25">
      <c r="A51" s="97">
        <v>2012</v>
      </c>
      <c r="B51" s="98">
        <v>22012</v>
      </c>
      <c r="C51" s="98" t="s">
        <v>197</v>
      </c>
      <c r="D51" s="99">
        <v>206000</v>
      </c>
      <c r="E51" s="99">
        <v>0</v>
      </c>
      <c r="F51" s="99"/>
      <c r="G51" s="99">
        <v>52</v>
      </c>
      <c r="H51" s="99">
        <v>25</v>
      </c>
      <c r="I51" s="99" t="s">
        <v>212</v>
      </c>
      <c r="J51" s="99" t="s">
        <v>49</v>
      </c>
      <c r="K51" s="99" t="b">
        <v>1</v>
      </c>
      <c r="L51" s="95">
        <v>2012</v>
      </c>
      <c r="M51" s="96">
        <v>-1291228</v>
      </c>
      <c r="N51" s="100">
        <v>41064</v>
      </c>
      <c r="O51" s="100">
        <v>41064</v>
      </c>
    </row>
    <row r="52" spans="1:15" ht="14.25">
      <c r="A52" s="97">
        <v>2012</v>
      </c>
      <c r="B52" s="98">
        <v>22012</v>
      </c>
      <c r="C52" s="98" t="s">
        <v>197</v>
      </c>
      <c r="D52" s="99">
        <v>206000</v>
      </c>
      <c r="E52" s="99">
        <v>0</v>
      </c>
      <c r="F52" s="99"/>
      <c r="G52" s="99">
        <v>20</v>
      </c>
      <c r="H52" s="99">
        <v>7</v>
      </c>
      <c r="I52" s="99" t="s">
        <v>214</v>
      </c>
      <c r="J52" s="99" t="s">
        <v>12</v>
      </c>
      <c r="K52" s="99" t="b">
        <v>1</v>
      </c>
      <c r="L52" s="95">
        <v>2016</v>
      </c>
      <c r="M52" s="96">
        <v>3287000</v>
      </c>
      <c r="N52" s="100">
        <v>41064</v>
      </c>
      <c r="O52" s="100">
        <v>41064</v>
      </c>
    </row>
    <row r="53" spans="1:15" ht="14.25">
      <c r="A53" s="97">
        <v>2012</v>
      </c>
      <c r="B53" s="98">
        <v>22012</v>
      </c>
      <c r="C53" s="98" t="s">
        <v>197</v>
      </c>
      <c r="D53" s="99">
        <v>206000</v>
      </c>
      <c r="E53" s="99">
        <v>0</v>
      </c>
      <c r="F53" s="99"/>
      <c r="G53" s="99">
        <v>44</v>
      </c>
      <c r="H53" s="99">
        <v>20</v>
      </c>
      <c r="I53" s="99" t="s">
        <v>215</v>
      </c>
      <c r="J53" s="99" t="s">
        <v>145</v>
      </c>
      <c r="K53" s="99" t="b">
        <v>1</v>
      </c>
      <c r="L53" s="95">
        <v>2017</v>
      </c>
      <c r="M53" s="96">
        <v>0.1045</v>
      </c>
      <c r="N53" s="100">
        <v>41064</v>
      </c>
      <c r="O53" s="100">
        <v>41064</v>
      </c>
    </row>
    <row r="54" spans="1:15" ht="14.25">
      <c r="A54" s="97">
        <v>2012</v>
      </c>
      <c r="B54" s="98">
        <v>22012</v>
      </c>
      <c r="C54" s="98" t="s">
        <v>197</v>
      </c>
      <c r="D54" s="99">
        <v>206000</v>
      </c>
      <c r="E54" s="99">
        <v>0</v>
      </c>
      <c r="F54" s="99"/>
      <c r="G54" s="99">
        <v>1</v>
      </c>
      <c r="H54" s="99">
        <v>1</v>
      </c>
      <c r="I54" s="99" t="s">
        <v>198</v>
      </c>
      <c r="J54" s="99" t="s">
        <v>93</v>
      </c>
      <c r="K54" s="99" t="b">
        <v>1</v>
      </c>
      <c r="L54" s="95">
        <v>2012</v>
      </c>
      <c r="M54" s="96">
        <v>69885258</v>
      </c>
      <c r="N54" s="100">
        <v>41064</v>
      </c>
      <c r="O54" s="100">
        <v>41064</v>
      </c>
    </row>
    <row r="55" spans="1:15" ht="14.25">
      <c r="A55" s="97">
        <v>2012</v>
      </c>
      <c r="B55" s="98">
        <v>22012</v>
      </c>
      <c r="C55" s="98" t="s">
        <v>197</v>
      </c>
      <c r="D55" s="99">
        <v>206000</v>
      </c>
      <c r="E55" s="99">
        <v>0</v>
      </c>
      <c r="F55" s="99"/>
      <c r="G55" s="99">
        <v>26</v>
      </c>
      <c r="H55" s="99">
        <v>9</v>
      </c>
      <c r="I55" s="99" t="s">
        <v>205</v>
      </c>
      <c r="J55" s="99" t="s">
        <v>131</v>
      </c>
      <c r="K55" s="99" t="b">
        <v>0</v>
      </c>
      <c r="L55" s="95">
        <v>2016</v>
      </c>
      <c r="M55" s="96">
        <v>3913246</v>
      </c>
      <c r="N55" s="100">
        <v>41064</v>
      </c>
      <c r="O55" s="100">
        <v>41064</v>
      </c>
    </row>
    <row r="56" spans="1:15" ht="14.25">
      <c r="A56" s="97">
        <v>2012</v>
      </c>
      <c r="B56" s="98">
        <v>22012</v>
      </c>
      <c r="C56" s="98" t="s">
        <v>197</v>
      </c>
      <c r="D56" s="99">
        <v>206000</v>
      </c>
      <c r="E56" s="99">
        <v>0</v>
      </c>
      <c r="F56" s="99"/>
      <c r="G56" s="99">
        <v>27</v>
      </c>
      <c r="H56" s="99">
        <v>10</v>
      </c>
      <c r="I56" s="99"/>
      <c r="J56" s="99" t="s">
        <v>18</v>
      </c>
      <c r="K56" s="99" t="b">
        <v>0</v>
      </c>
      <c r="L56" s="95">
        <v>2020</v>
      </c>
      <c r="M56" s="96">
        <v>9492249</v>
      </c>
      <c r="N56" s="100">
        <v>41064</v>
      </c>
      <c r="O56" s="100">
        <v>41064</v>
      </c>
    </row>
    <row r="57" spans="1:15" ht="14.25">
      <c r="A57" s="97">
        <v>2012</v>
      </c>
      <c r="B57" s="98">
        <v>22012</v>
      </c>
      <c r="C57" s="98" t="s">
        <v>197</v>
      </c>
      <c r="D57" s="99">
        <v>206000</v>
      </c>
      <c r="E57" s="99">
        <v>0</v>
      </c>
      <c r="F57" s="99"/>
      <c r="G57" s="99">
        <v>54</v>
      </c>
      <c r="H57" s="99">
        <v>27</v>
      </c>
      <c r="I57" s="99" t="s">
        <v>199</v>
      </c>
      <c r="J57" s="99" t="s">
        <v>46</v>
      </c>
      <c r="K57" s="99" t="b">
        <v>0</v>
      </c>
      <c r="L57" s="95">
        <v>2015</v>
      </c>
      <c r="M57" s="96">
        <v>65218659</v>
      </c>
      <c r="N57" s="100">
        <v>41064</v>
      </c>
      <c r="O57" s="100">
        <v>41064</v>
      </c>
    </row>
    <row r="58" spans="1:15" ht="14.25">
      <c r="A58" s="97">
        <v>2012</v>
      </c>
      <c r="B58" s="98">
        <v>22012</v>
      </c>
      <c r="C58" s="98" t="s">
        <v>197</v>
      </c>
      <c r="D58" s="99">
        <v>206000</v>
      </c>
      <c r="E58" s="99">
        <v>0</v>
      </c>
      <c r="F58" s="99"/>
      <c r="G58" s="99">
        <v>44</v>
      </c>
      <c r="H58" s="99">
        <v>20</v>
      </c>
      <c r="I58" s="99" t="s">
        <v>215</v>
      </c>
      <c r="J58" s="99" t="s">
        <v>145</v>
      </c>
      <c r="K58" s="99" t="b">
        <v>1</v>
      </c>
      <c r="L58" s="95">
        <v>2018</v>
      </c>
      <c r="M58" s="96">
        <v>0.1146</v>
      </c>
      <c r="N58" s="100">
        <v>41064</v>
      </c>
      <c r="O58" s="100">
        <v>41064</v>
      </c>
    </row>
    <row r="59" spans="1:15" ht="14.25">
      <c r="A59" s="97">
        <v>2012</v>
      </c>
      <c r="B59" s="98">
        <v>22012</v>
      </c>
      <c r="C59" s="98" t="s">
        <v>197</v>
      </c>
      <c r="D59" s="99">
        <v>206000</v>
      </c>
      <c r="E59" s="99">
        <v>0</v>
      </c>
      <c r="F59" s="99"/>
      <c r="G59" s="99">
        <v>8</v>
      </c>
      <c r="H59" s="99" t="s">
        <v>104</v>
      </c>
      <c r="I59" s="99"/>
      <c r="J59" s="99" t="s">
        <v>105</v>
      </c>
      <c r="K59" s="99" t="b">
        <v>0</v>
      </c>
      <c r="L59" s="95">
        <v>2017</v>
      </c>
      <c r="M59" s="96">
        <v>32508574</v>
      </c>
      <c r="N59" s="100">
        <v>41064</v>
      </c>
      <c r="O59" s="100">
        <v>41064</v>
      </c>
    </row>
    <row r="60" spans="1:15" ht="14.25">
      <c r="A60" s="97">
        <v>2012</v>
      </c>
      <c r="B60" s="98">
        <v>22012</v>
      </c>
      <c r="C60" s="98" t="s">
        <v>197</v>
      </c>
      <c r="D60" s="99">
        <v>206000</v>
      </c>
      <c r="E60" s="99">
        <v>0</v>
      </c>
      <c r="F60" s="99"/>
      <c r="G60" s="99">
        <v>53</v>
      </c>
      <c r="H60" s="99">
        <v>26</v>
      </c>
      <c r="I60" s="99" t="s">
        <v>211</v>
      </c>
      <c r="J60" s="99" t="s">
        <v>151</v>
      </c>
      <c r="K60" s="99" t="b">
        <v>1</v>
      </c>
      <c r="L60" s="95">
        <v>2019</v>
      </c>
      <c r="M60" s="96">
        <v>79026075</v>
      </c>
      <c r="N60" s="100">
        <v>41064</v>
      </c>
      <c r="O60" s="100">
        <v>41064</v>
      </c>
    </row>
    <row r="61" spans="1:15" ht="14.25">
      <c r="A61" s="97">
        <v>2012</v>
      </c>
      <c r="B61" s="98">
        <v>22012</v>
      </c>
      <c r="C61" s="98" t="s">
        <v>197</v>
      </c>
      <c r="D61" s="99">
        <v>206000</v>
      </c>
      <c r="E61" s="99">
        <v>0</v>
      </c>
      <c r="F61" s="99"/>
      <c r="G61" s="99">
        <v>20</v>
      </c>
      <c r="H61" s="99">
        <v>7</v>
      </c>
      <c r="I61" s="99" t="s">
        <v>214</v>
      </c>
      <c r="J61" s="99" t="s">
        <v>12</v>
      </c>
      <c r="K61" s="99" t="b">
        <v>1</v>
      </c>
      <c r="L61" s="95">
        <v>2018</v>
      </c>
      <c r="M61" s="96">
        <v>2279000</v>
      </c>
      <c r="N61" s="100">
        <v>41064</v>
      </c>
      <c r="O61" s="100">
        <v>41064</v>
      </c>
    </row>
    <row r="62" spans="1:15" ht="14.25">
      <c r="A62" s="97">
        <v>2012</v>
      </c>
      <c r="B62" s="98">
        <v>22012</v>
      </c>
      <c r="C62" s="98" t="s">
        <v>197</v>
      </c>
      <c r="D62" s="99">
        <v>206000</v>
      </c>
      <c r="E62" s="99">
        <v>0</v>
      </c>
      <c r="F62" s="99"/>
      <c r="G62" s="99">
        <v>7</v>
      </c>
      <c r="H62" s="99">
        <v>2</v>
      </c>
      <c r="I62" s="99"/>
      <c r="J62" s="99" t="s">
        <v>3</v>
      </c>
      <c r="K62" s="99" t="b">
        <v>1</v>
      </c>
      <c r="L62" s="95">
        <v>2015</v>
      </c>
      <c r="M62" s="96">
        <v>62513899</v>
      </c>
      <c r="N62" s="100">
        <v>41064</v>
      </c>
      <c r="O62" s="100">
        <v>41064</v>
      </c>
    </row>
    <row r="63" spans="1:15" ht="14.25">
      <c r="A63" s="97">
        <v>2012</v>
      </c>
      <c r="B63" s="98">
        <v>22012</v>
      </c>
      <c r="C63" s="98" t="s">
        <v>197</v>
      </c>
      <c r="D63" s="99">
        <v>206000</v>
      </c>
      <c r="E63" s="99">
        <v>0</v>
      </c>
      <c r="F63" s="99"/>
      <c r="G63" s="99">
        <v>21</v>
      </c>
      <c r="H63" s="99" t="s">
        <v>122</v>
      </c>
      <c r="I63" s="99"/>
      <c r="J63" s="99" t="s">
        <v>123</v>
      </c>
      <c r="K63" s="99" t="b">
        <v>1</v>
      </c>
      <c r="L63" s="95">
        <v>2020</v>
      </c>
      <c r="M63" s="96">
        <v>1500000</v>
      </c>
      <c r="N63" s="100">
        <v>41064</v>
      </c>
      <c r="O63" s="100">
        <v>41064</v>
      </c>
    </row>
    <row r="64" spans="1:15" ht="14.25">
      <c r="A64" s="97">
        <v>2012</v>
      </c>
      <c r="B64" s="98">
        <v>22012</v>
      </c>
      <c r="C64" s="98" t="s">
        <v>197</v>
      </c>
      <c r="D64" s="99">
        <v>206000</v>
      </c>
      <c r="E64" s="99">
        <v>0</v>
      </c>
      <c r="F64" s="99"/>
      <c r="G64" s="99">
        <v>7</v>
      </c>
      <c r="H64" s="99">
        <v>2</v>
      </c>
      <c r="I64" s="99"/>
      <c r="J64" s="99" t="s">
        <v>3</v>
      </c>
      <c r="K64" s="99" t="b">
        <v>1</v>
      </c>
      <c r="L64" s="95">
        <v>2014</v>
      </c>
      <c r="M64" s="96">
        <v>60989170</v>
      </c>
      <c r="N64" s="100">
        <v>41064</v>
      </c>
      <c r="O64" s="100">
        <v>41064</v>
      </c>
    </row>
    <row r="65" spans="1:15" ht="14.25">
      <c r="A65" s="97">
        <v>2012</v>
      </c>
      <c r="B65" s="98">
        <v>22012</v>
      </c>
      <c r="C65" s="98" t="s">
        <v>197</v>
      </c>
      <c r="D65" s="99">
        <v>206000</v>
      </c>
      <c r="E65" s="99">
        <v>0</v>
      </c>
      <c r="F65" s="99"/>
      <c r="G65" s="99">
        <v>34</v>
      </c>
      <c r="H65" s="99" t="s">
        <v>137</v>
      </c>
      <c r="I65" s="99"/>
      <c r="J65" s="99" t="s">
        <v>138</v>
      </c>
      <c r="K65" s="99" t="b">
        <v>1</v>
      </c>
      <c r="L65" s="95">
        <v>2013</v>
      </c>
      <c r="M65" s="96">
        <v>402000</v>
      </c>
      <c r="N65" s="100">
        <v>41064</v>
      </c>
      <c r="O65" s="100">
        <v>41064</v>
      </c>
    </row>
    <row r="66" spans="1:15" ht="14.25">
      <c r="A66" s="97">
        <v>2012</v>
      </c>
      <c r="B66" s="98">
        <v>22012</v>
      </c>
      <c r="C66" s="98" t="s">
        <v>197</v>
      </c>
      <c r="D66" s="99">
        <v>206000</v>
      </c>
      <c r="E66" s="99">
        <v>0</v>
      </c>
      <c r="F66" s="99"/>
      <c r="G66" s="99">
        <v>14</v>
      </c>
      <c r="H66" s="99">
        <v>3</v>
      </c>
      <c r="I66" s="99" t="s">
        <v>213</v>
      </c>
      <c r="J66" s="99" t="s">
        <v>116</v>
      </c>
      <c r="K66" s="99" t="b">
        <v>1</v>
      </c>
      <c r="L66" s="95">
        <v>2014</v>
      </c>
      <c r="M66" s="96">
        <v>6048665</v>
      </c>
      <c r="N66" s="100">
        <v>41064</v>
      </c>
      <c r="O66" s="100">
        <v>41064</v>
      </c>
    </row>
    <row r="67" spans="1:15" ht="14.25">
      <c r="A67" s="97">
        <v>2012</v>
      </c>
      <c r="B67" s="98">
        <v>22012</v>
      </c>
      <c r="C67" s="98" t="s">
        <v>197</v>
      </c>
      <c r="D67" s="99">
        <v>206000</v>
      </c>
      <c r="E67" s="99">
        <v>0</v>
      </c>
      <c r="F67" s="99"/>
      <c r="G67" s="99">
        <v>48</v>
      </c>
      <c r="H67" s="99">
        <v>22</v>
      </c>
      <c r="I67" s="99" t="s">
        <v>202</v>
      </c>
      <c r="J67" s="99" t="s">
        <v>77</v>
      </c>
      <c r="K67" s="99" t="b">
        <v>0</v>
      </c>
      <c r="L67" s="95">
        <v>2013</v>
      </c>
      <c r="M67" s="96">
        <v>0.0609</v>
      </c>
      <c r="N67" s="100">
        <v>41064</v>
      </c>
      <c r="O67" s="100">
        <v>41064</v>
      </c>
    </row>
    <row r="68" spans="1:15" ht="14.25">
      <c r="A68" s="97">
        <v>2012</v>
      </c>
      <c r="B68" s="98">
        <v>22012</v>
      </c>
      <c r="C68" s="98" t="s">
        <v>197</v>
      </c>
      <c r="D68" s="99">
        <v>206000</v>
      </c>
      <c r="E68" s="99">
        <v>0</v>
      </c>
      <c r="F68" s="99"/>
      <c r="G68" s="99">
        <v>48</v>
      </c>
      <c r="H68" s="99">
        <v>22</v>
      </c>
      <c r="I68" s="99" t="s">
        <v>202</v>
      </c>
      <c r="J68" s="99" t="s">
        <v>77</v>
      </c>
      <c r="K68" s="99" t="b">
        <v>0</v>
      </c>
      <c r="L68" s="95">
        <v>2019</v>
      </c>
      <c r="M68" s="96">
        <v>0.0275</v>
      </c>
      <c r="N68" s="100">
        <v>41064</v>
      </c>
      <c r="O68" s="100">
        <v>41064</v>
      </c>
    </row>
    <row r="69" spans="1:15" ht="14.25">
      <c r="A69" s="97">
        <v>2012</v>
      </c>
      <c r="B69" s="98">
        <v>22012</v>
      </c>
      <c r="C69" s="98" t="s">
        <v>197</v>
      </c>
      <c r="D69" s="99">
        <v>206000</v>
      </c>
      <c r="E69" s="99">
        <v>0</v>
      </c>
      <c r="F69" s="99"/>
      <c r="G69" s="99">
        <v>39</v>
      </c>
      <c r="H69" s="99" t="s">
        <v>141</v>
      </c>
      <c r="I69" s="99"/>
      <c r="J69" s="99" t="s">
        <v>142</v>
      </c>
      <c r="K69" s="99" t="b">
        <v>1</v>
      </c>
      <c r="L69" s="95">
        <v>2013</v>
      </c>
      <c r="M69" s="96">
        <v>2668225</v>
      </c>
      <c r="N69" s="100">
        <v>41064</v>
      </c>
      <c r="O69" s="100">
        <v>41064</v>
      </c>
    </row>
    <row r="70" spans="1:15" ht="14.25">
      <c r="A70" s="97">
        <v>2012</v>
      </c>
      <c r="B70" s="98">
        <v>22012</v>
      </c>
      <c r="C70" s="98" t="s">
        <v>197</v>
      </c>
      <c r="D70" s="99">
        <v>206000</v>
      </c>
      <c r="E70" s="99">
        <v>0</v>
      </c>
      <c r="F70" s="99"/>
      <c r="G70" s="99">
        <v>27</v>
      </c>
      <c r="H70" s="99">
        <v>10</v>
      </c>
      <c r="I70" s="99"/>
      <c r="J70" s="99" t="s">
        <v>18</v>
      </c>
      <c r="K70" s="99" t="b">
        <v>0</v>
      </c>
      <c r="L70" s="95">
        <v>2014</v>
      </c>
      <c r="M70" s="96">
        <v>2826165</v>
      </c>
      <c r="N70" s="100">
        <v>41064</v>
      </c>
      <c r="O70" s="100">
        <v>41064</v>
      </c>
    </row>
    <row r="71" spans="1:15" ht="14.25">
      <c r="A71" s="97">
        <v>2012</v>
      </c>
      <c r="B71" s="98">
        <v>22012</v>
      </c>
      <c r="C71" s="98" t="s">
        <v>197</v>
      </c>
      <c r="D71" s="99">
        <v>206000</v>
      </c>
      <c r="E71" s="99">
        <v>0</v>
      </c>
      <c r="F71" s="99"/>
      <c r="G71" s="99">
        <v>4</v>
      </c>
      <c r="H71" s="99" t="s">
        <v>98</v>
      </c>
      <c r="I71" s="99"/>
      <c r="J71" s="99" t="s">
        <v>99</v>
      </c>
      <c r="K71" s="99" t="b">
        <v>1</v>
      </c>
      <c r="L71" s="95">
        <v>2012</v>
      </c>
      <c r="M71" s="96">
        <v>3520000</v>
      </c>
      <c r="N71" s="100">
        <v>41064</v>
      </c>
      <c r="O71" s="100">
        <v>41064</v>
      </c>
    </row>
    <row r="72" spans="1:15" ht="14.25">
      <c r="A72" s="97">
        <v>2012</v>
      </c>
      <c r="B72" s="98">
        <v>22012</v>
      </c>
      <c r="C72" s="98" t="s">
        <v>197</v>
      </c>
      <c r="D72" s="99">
        <v>206000</v>
      </c>
      <c r="E72" s="99">
        <v>0</v>
      </c>
      <c r="F72" s="99"/>
      <c r="G72" s="99">
        <v>43</v>
      </c>
      <c r="H72" s="99" t="s">
        <v>144</v>
      </c>
      <c r="I72" s="99" t="s">
        <v>216</v>
      </c>
      <c r="J72" s="99" t="s">
        <v>74</v>
      </c>
      <c r="K72" s="99" t="b">
        <v>0</v>
      </c>
      <c r="L72" s="95">
        <v>2014</v>
      </c>
      <c r="M72" s="96">
        <v>0.0481</v>
      </c>
      <c r="N72" s="100">
        <v>41064</v>
      </c>
      <c r="O72" s="100">
        <v>41064</v>
      </c>
    </row>
    <row r="73" spans="1:15" ht="14.25">
      <c r="A73" s="97">
        <v>2012</v>
      </c>
      <c r="B73" s="98">
        <v>22012</v>
      </c>
      <c r="C73" s="98" t="s">
        <v>197</v>
      </c>
      <c r="D73" s="99">
        <v>206000</v>
      </c>
      <c r="E73" s="99">
        <v>0</v>
      </c>
      <c r="F73" s="99"/>
      <c r="G73" s="99">
        <v>23</v>
      </c>
      <c r="H73" s="99" t="s">
        <v>126</v>
      </c>
      <c r="I73" s="99"/>
      <c r="J73" s="99" t="s">
        <v>127</v>
      </c>
      <c r="K73" s="99" t="b">
        <v>1</v>
      </c>
      <c r="L73" s="95">
        <v>2012</v>
      </c>
      <c r="M73" s="96">
        <v>1550000</v>
      </c>
      <c r="N73" s="100">
        <v>41064</v>
      </c>
      <c r="O73" s="100">
        <v>41064</v>
      </c>
    </row>
    <row r="74" spans="1:15" ht="14.25">
      <c r="A74" s="97">
        <v>2012</v>
      </c>
      <c r="B74" s="98">
        <v>22012</v>
      </c>
      <c r="C74" s="98" t="s">
        <v>197</v>
      </c>
      <c r="D74" s="99">
        <v>206000</v>
      </c>
      <c r="E74" s="99">
        <v>0</v>
      </c>
      <c r="F74" s="99"/>
      <c r="G74" s="99">
        <v>23</v>
      </c>
      <c r="H74" s="99" t="s">
        <v>126</v>
      </c>
      <c r="I74" s="99"/>
      <c r="J74" s="99" t="s">
        <v>127</v>
      </c>
      <c r="K74" s="99" t="b">
        <v>1</v>
      </c>
      <c r="L74" s="95">
        <v>2016</v>
      </c>
      <c r="M74" s="96">
        <v>489000</v>
      </c>
      <c r="N74" s="100">
        <v>41064</v>
      </c>
      <c r="O74" s="100">
        <v>41064</v>
      </c>
    </row>
    <row r="75" spans="1:15" ht="14.25">
      <c r="A75" s="97">
        <v>2012</v>
      </c>
      <c r="B75" s="98">
        <v>22012</v>
      </c>
      <c r="C75" s="98" t="s">
        <v>197</v>
      </c>
      <c r="D75" s="99">
        <v>206000</v>
      </c>
      <c r="E75" s="99">
        <v>0</v>
      </c>
      <c r="F75" s="99"/>
      <c r="G75" s="99">
        <v>49</v>
      </c>
      <c r="H75" s="99" t="s">
        <v>148</v>
      </c>
      <c r="I75" s="99" t="s">
        <v>204</v>
      </c>
      <c r="J75" s="99" t="s">
        <v>79</v>
      </c>
      <c r="K75" s="99" t="b">
        <v>0</v>
      </c>
      <c r="L75" s="95">
        <v>2018</v>
      </c>
      <c r="M75" s="96">
        <v>640</v>
      </c>
      <c r="N75" s="100">
        <v>41064</v>
      </c>
      <c r="O75" s="100">
        <v>41064</v>
      </c>
    </row>
    <row r="76" spans="1:15" ht="14.25">
      <c r="A76" s="97">
        <v>2012</v>
      </c>
      <c r="B76" s="98">
        <v>22012</v>
      </c>
      <c r="C76" s="98" t="s">
        <v>197</v>
      </c>
      <c r="D76" s="99">
        <v>206000</v>
      </c>
      <c r="E76" s="99">
        <v>0</v>
      </c>
      <c r="F76" s="99"/>
      <c r="G76" s="99">
        <v>2</v>
      </c>
      <c r="H76" s="99" t="s">
        <v>94</v>
      </c>
      <c r="I76" s="99"/>
      <c r="J76" s="99" t="s">
        <v>95</v>
      </c>
      <c r="K76" s="99" t="b">
        <v>1</v>
      </c>
      <c r="L76" s="95">
        <v>2013</v>
      </c>
      <c r="M76" s="96">
        <v>64287152</v>
      </c>
      <c r="N76" s="100">
        <v>41064</v>
      </c>
      <c r="O76" s="100">
        <v>41064</v>
      </c>
    </row>
    <row r="77" spans="1:15" ht="14.25">
      <c r="A77" s="97">
        <v>2012</v>
      </c>
      <c r="B77" s="98">
        <v>22012</v>
      </c>
      <c r="C77" s="98" t="s">
        <v>197</v>
      </c>
      <c r="D77" s="99">
        <v>206000</v>
      </c>
      <c r="E77" s="99">
        <v>0</v>
      </c>
      <c r="F77" s="99"/>
      <c r="G77" s="99">
        <v>8</v>
      </c>
      <c r="H77" s="99" t="s">
        <v>104</v>
      </c>
      <c r="I77" s="99"/>
      <c r="J77" s="99" t="s">
        <v>105</v>
      </c>
      <c r="K77" s="99" t="b">
        <v>0</v>
      </c>
      <c r="L77" s="95">
        <v>2014</v>
      </c>
      <c r="M77" s="96">
        <v>29749950</v>
      </c>
      <c r="N77" s="100">
        <v>41064</v>
      </c>
      <c r="O77" s="100">
        <v>41064</v>
      </c>
    </row>
    <row r="78" spans="1:15" ht="14.25">
      <c r="A78" s="97">
        <v>2012</v>
      </c>
      <c r="B78" s="98">
        <v>22012</v>
      </c>
      <c r="C78" s="98" t="s">
        <v>197</v>
      </c>
      <c r="D78" s="99">
        <v>206000</v>
      </c>
      <c r="E78" s="99">
        <v>0</v>
      </c>
      <c r="F78" s="99"/>
      <c r="G78" s="99">
        <v>54</v>
      </c>
      <c r="H78" s="99">
        <v>27</v>
      </c>
      <c r="I78" s="99" t="s">
        <v>199</v>
      </c>
      <c r="J78" s="99" t="s">
        <v>46</v>
      </c>
      <c r="K78" s="99" t="b">
        <v>0</v>
      </c>
      <c r="L78" s="95">
        <v>2019</v>
      </c>
      <c r="M78" s="96">
        <v>77028075</v>
      </c>
      <c r="N78" s="100">
        <v>41064</v>
      </c>
      <c r="O78" s="100">
        <v>41064</v>
      </c>
    </row>
    <row r="79" spans="1:15" ht="14.25">
      <c r="A79" s="97">
        <v>2012</v>
      </c>
      <c r="B79" s="98">
        <v>22012</v>
      </c>
      <c r="C79" s="98" t="s">
        <v>197</v>
      </c>
      <c r="D79" s="99">
        <v>206000</v>
      </c>
      <c r="E79" s="99">
        <v>0</v>
      </c>
      <c r="F79" s="99"/>
      <c r="G79" s="99">
        <v>47</v>
      </c>
      <c r="H79" s="99" t="s">
        <v>147</v>
      </c>
      <c r="I79" s="99" t="s">
        <v>207</v>
      </c>
      <c r="J79" s="99" t="s">
        <v>76</v>
      </c>
      <c r="K79" s="99" t="b">
        <v>0</v>
      </c>
      <c r="L79" s="95">
        <v>2012</v>
      </c>
      <c r="M79" s="96">
        <v>-451</v>
      </c>
      <c r="N79" s="100">
        <v>41064</v>
      </c>
      <c r="O79" s="100">
        <v>41064</v>
      </c>
    </row>
    <row r="80" spans="1:15" ht="14.25">
      <c r="A80" s="97">
        <v>2012</v>
      </c>
      <c r="B80" s="98">
        <v>22012</v>
      </c>
      <c r="C80" s="98" t="s">
        <v>197</v>
      </c>
      <c r="D80" s="99">
        <v>206000</v>
      </c>
      <c r="E80" s="99">
        <v>0</v>
      </c>
      <c r="F80" s="99"/>
      <c r="G80" s="99">
        <v>55</v>
      </c>
      <c r="H80" s="99">
        <v>28</v>
      </c>
      <c r="I80" s="99" t="s">
        <v>208</v>
      </c>
      <c r="J80" s="99" t="s">
        <v>48</v>
      </c>
      <c r="K80" s="99" t="b">
        <v>0</v>
      </c>
      <c r="L80" s="95">
        <v>2020</v>
      </c>
      <c r="M80" s="96">
        <v>1500000</v>
      </c>
      <c r="N80" s="100">
        <v>41064</v>
      </c>
      <c r="O80" s="100">
        <v>41064</v>
      </c>
    </row>
    <row r="81" spans="1:15" ht="14.25">
      <c r="A81" s="97">
        <v>2012</v>
      </c>
      <c r="B81" s="98">
        <v>22012</v>
      </c>
      <c r="C81" s="98" t="s">
        <v>197</v>
      </c>
      <c r="D81" s="99">
        <v>206000</v>
      </c>
      <c r="E81" s="99">
        <v>0</v>
      </c>
      <c r="F81" s="99"/>
      <c r="G81" s="99">
        <v>46</v>
      </c>
      <c r="H81" s="99">
        <v>21</v>
      </c>
      <c r="I81" s="99" t="s">
        <v>209</v>
      </c>
      <c r="J81" s="99" t="s">
        <v>54</v>
      </c>
      <c r="K81" s="99" t="b">
        <v>1</v>
      </c>
      <c r="L81" s="95">
        <v>2019</v>
      </c>
      <c r="M81" s="96">
        <v>0.0275</v>
      </c>
      <c r="N81" s="100">
        <v>41064</v>
      </c>
      <c r="O81" s="100">
        <v>41064</v>
      </c>
    </row>
    <row r="82" spans="1:15" ht="14.25">
      <c r="A82" s="97">
        <v>2012</v>
      </c>
      <c r="B82" s="98">
        <v>22012</v>
      </c>
      <c r="C82" s="98" t="s">
        <v>197</v>
      </c>
      <c r="D82" s="99">
        <v>206000</v>
      </c>
      <c r="E82" s="99">
        <v>0</v>
      </c>
      <c r="F82" s="99"/>
      <c r="G82" s="99">
        <v>45</v>
      </c>
      <c r="H82" s="99" t="s">
        <v>146</v>
      </c>
      <c r="I82" s="99" t="s">
        <v>206</v>
      </c>
      <c r="J82" s="99" t="s">
        <v>53</v>
      </c>
      <c r="K82" s="99" t="b">
        <v>0</v>
      </c>
      <c r="L82" s="95">
        <v>2015</v>
      </c>
      <c r="M82" s="96">
        <v>0.0666</v>
      </c>
      <c r="N82" s="100">
        <v>41064</v>
      </c>
      <c r="O82" s="100">
        <v>41064</v>
      </c>
    </row>
    <row r="83" spans="1:15" ht="14.25">
      <c r="A83" s="97">
        <v>2012</v>
      </c>
      <c r="B83" s="98">
        <v>22012</v>
      </c>
      <c r="C83" s="98" t="s">
        <v>197</v>
      </c>
      <c r="D83" s="99">
        <v>206000</v>
      </c>
      <c r="E83" s="99">
        <v>0</v>
      </c>
      <c r="F83" s="99"/>
      <c r="G83" s="99">
        <v>49</v>
      </c>
      <c r="H83" s="99" t="s">
        <v>148</v>
      </c>
      <c r="I83" s="99" t="s">
        <v>204</v>
      </c>
      <c r="J83" s="99" t="s">
        <v>79</v>
      </c>
      <c r="K83" s="99" t="b">
        <v>0</v>
      </c>
      <c r="L83" s="95">
        <v>2015</v>
      </c>
      <c r="M83" s="96">
        <v>41</v>
      </c>
      <c r="N83" s="100">
        <v>41064</v>
      </c>
      <c r="O83" s="100">
        <v>41064</v>
      </c>
    </row>
    <row r="84" spans="1:15" ht="14.25">
      <c r="A84" s="97">
        <v>2012</v>
      </c>
      <c r="B84" s="98">
        <v>22012</v>
      </c>
      <c r="C84" s="98" t="s">
        <v>197</v>
      </c>
      <c r="D84" s="99">
        <v>206000</v>
      </c>
      <c r="E84" s="99">
        <v>0</v>
      </c>
      <c r="F84" s="99"/>
      <c r="G84" s="99">
        <v>39</v>
      </c>
      <c r="H84" s="99" t="s">
        <v>141</v>
      </c>
      <c r="I84" s="99"/>
      <c r="J84" s="99" t="s">
        <v>142</v>
      </c>
      <c r="K84" s="99" t="b">
        <v>1</v>
      </c>
      <c r="L84" s="95">
        <v>2012</v>
      </c>
      <c r="M84" s="96">
        <v>3101906</v>
      </c>
      <c r="N84" s="100">
        <v>41064</v>
      </c>
      <c r="O84" s="100">
        <v>41064</v>
      </c>
    </row>
    <row r="85" spans="1:15" ht="14.25">
      <c r="A85" s="97">
        <v>2012</v>
      </c>
      <c r="B85" s="98">
        <v>22012</v>
      </c>
      <c r="C85" s="98" t="s">
        <v>197</v>
      </c>
      <c r="D85" s="99">
        <v>206000</v>
      </c>
      <c r="E85" s="99">
        <v>0</v>
      </c>
      <c r="F85" s="99"/>
      <c r="G85" s="99">
        <v>8</v>
      </c>
      <c r="H85" s="99" t="s">
        <v>104</v>
      </c>
      <c r="I85" s="99"/>
      <c r="J85" s="99" t="s">
        <v>105</v>
      </c>
      <c r="K85" s="99" t="b">
        <v>0</v>
      </c>
      <c r="L85" s="95">
        <v>2015</v>
      </c>
      <c r="M85" s="96">
        <v>30642448</v>
      </c>
      <c r="N85" s="100">
        <v>41064</v>
      </c>
      <c r="O85" s="100">
        <v>41064</v>
      </c>
    </row>
    <row r="86" spans="1:15" ht="14.25">
      <c r="A86" s="97">
        <v>2012</v>
      </c>
      <c r="B86" s="98">
        <v>22012</v>
      </c>
      <c r="C86" s="98" t="s">
        <v>197</v>
      </c>
      <c r="D86" s="99">
        <v>206000</v>
      </c>
      <c r="E86" s="99">
        <v>0</v>
      </c>
      <c r="F86" s="99"/>
      <c r="G86" s="99">
        <v>24</v>
      </c>
      <c r="H86" s="99" t="s">
        <v>128</v>
      </c>
      <c r="I86" s="99"/>
      <c r="J86" s="99" t="s">
        <v>129</v>
      </c>
      <c r="K86" s="99" t="b">
        <v>1</v>
      </c>
      <c r="L86" s="95">
        <v>2017</v>
      </c>
      <c r="M86" s="96">
        <v>384000</v>
      </c>
      <c r="N86" s="100">
        <v>41064</v>
      </c>
      <c r="O86" s="100">
        <v>41064</v>
      </c>
    </row>
    <row r="87" spans="1:15" ht="14.25">
      <c r="A87" s="97">
        <v>2012</v>
      </c>
      <c r="B87" s="98">
        <v>22012</v>
      </c>
      <c r="C87" s="98" t="s">
        <v>197</v>
      </c>
      <c r="D87" s="99">
        <v>206000</v>
      </c>
      <c r="E87" s="99">
        <v>0</v>
      </c>
      <c r="F87" s="99"/>
      <c r="G87" s="99">
        <v>12</v>
      </c>
      <c r="H87" s="99" t="s">
        <v>112</v>
      </c>
      <c r="I87" s="99"/>
      <c r="J87" s="99" t="s">
        <v>113</v>
      </c>
      <c r="K87" s="99" t="b">
        <v>0</v>
      </c>
      <c r="L87" s="95">
        <v>2013</v>
      </c>
      <c r="M87" s="96">
        <v>635185</v>
      </c>
      <c r="N87" s="100">
        <v>41064</v>
      </c>
      <c r="O87" s="100">
        <v>41064</v>
      </c>
    </row>
    <row r="88" spans="1:15" ht="14.25">
      <c r="A88" s="97">
        <v>2012</v>
      </c>
      <c r="B88" s="98">
        <v>22012</v>
      </c>
      <c r="C88" s="98" t="s">
        <v>197</v>
      </c>
      <c r="D88" s="99">
        <v>206000</v>
      </c>
      <c r="E88" s="99">
        <v>0</v>
      </c>
      <c r="F88" s="99"/>
      <c r="G88" s="99">
        <v>53</v>
      </c>
      <c r="H88" s="99">
        <v>26</v>
      </c>
      <c r="I88" s="99" t="s">
        <v>211</v>
      </c>
      <c r="J88" s="99" t="s">
        <v>151</v>
      </c>
      <c r="K88" s="99" t="b">
        <v>1</v>
      </c>
      <c r="L88" s="95">
        <v>2017</v>
      </c>
      <c r="M88" s="96">
        <v>73771687</v>
      </c>
      <c r="N88" s="100">
        <v>41064</v>
      </c>
      <c r="O88" s="100">
        <v>41064</v>
      </c>
    </row>
    <row r="89" spans="1:15" ht="14.25">
      <c r="A89" s="97">
        <v>2012</v>
      </c>
      <c r="B89" s="98">
        <v>22012</v>
      </c>
      <c r="C89" s="98" t="s">
        <v>197</v>
      </c>
      <c r="D89" s="99">
        <v>206000</v>
      </c>
      <c r="E89" s="99">
        <v>0</v>
      </c>
      <c r="F89" s="99"/>
      <c r="G89" s="99">
        <v>54</v>
      </c>
      <c r="H89" s="99">
        <v>27</v>
      </c>
      <c r="I89" s="99" t="s">
        <v>199</v>
      </c>
      <c r="J89" s="99" t="s">
        <v>46</v>
      </c>
      <c r="K89" s="99" t="b">
        <v>0</v>
      </c>
      <c r="L89" s="95">
        <v>2013</v>
      </c>
      <c r="M89" s="96">
        <v>63439152</v>
      </c>
      <c r="N89" s="100">
        <v>41064</v>
      </c>
      <c r="O89" s="100">
        <v>41064</v>
      </c>
    </row>
    <row r="90" spans="1:15" ht="14.25">
      <c r="A90" s="97">
        <v>2012</v>
      </c>
      <c r="B90" s="98">
        <v>22012</v>
      </c>
      <c r="C90" s="98" t="s">
        <v>197</v>
      </c>
      <c r="D90" s="99">
        <v>206000</v>
      </c>
      <c r="E90" s="99">
        <v>0</v>
      </c>
      <c r="F90" s="99"/>
      <c r="G90" s="99">
        <v>26</v>
      </c>
      <c r="H90" s="99">
        <v>9</v>
      </c>
      <c r="I90" s="99" t="s">
        <v>205</v>
      </c>
      <c r="J90" s="99" t="s">
        <v>131</v>
      </c>
      <c r="K90" s="99" t="b">
        <v>0</v>
      </c>
      <c r="L90" s="95">
        <v>2019</v>
      </c>
      <c r="M90" s="96">
        <v>7852428</v>
      </c>
      <c r="N90" s="100">
        <v>41064</v>
      </c>
      <c r="O90" s="100">
        <v>41064</v>
      </c>
    </row>
    <row r="91" spans="1:15" ht="14.25">
      <c r="A91" s="97">
        <v>2012</v>
      </c>
      <c r="B91" s="98">
        <v>22012</v>
      </c>
      <c r="C91" s="98" t="s">
        <v>197</v>
      </c>
      <c r="D91" s="99">
        <v>206000</v>
      </c>
      <c r="E91" s="99">
        <v>0</v>
      </c>
      <c r="F91" s="99"/>
      <c r="G91" s="99">
        <v>39</v>
      </c>
      <c r="H91" s="99" t="s">
        <v>141</v>
      </c>
      <c r="I91" s="99"/>
      <c r="J91" s="99" t="s">
        <v>142</v>
      </c>
      <c r="K91" s="99" t="b">
        <v>1</v>
      </c>
      <c r="L91" s="95">
        <v>2015</v>
      </c>
      <c r="M91" s="96">
        <v>1649153</v>
      </c>
      <c r="N91" s="100">
        <v>41064</v>
      </c>
      <c r="O91" s="100">
        <v>41064</v>
      </c>
    </row>
    <row r="92" spans="1:15" ht="14.25">
      <c r="A92" s="97">
        <v>2012</v>
      </c>
      <c r="B92" s="98">
        <v>22012</v>
      </c>
      <c r="C92" s="98" t="s">
        <v>197</v>
      </c>
      <c r="D92" s="99">
        <v>206000</v>
      </c>
      <c r="E92" s="99">
        <v>0</v>
      </c>
      <c r="F92" s="99"/>
      <c r="G92" s="99">
        <v>19</v>
      </c>
      <c r="H92" s="99">
        <v>6</v>
      </c>
      <c r="I92" s="99" t="s">
        <v>210</v>
      </c>
      <c r="J92" s="99" t="s">
        <v>121</v>
      </c>
      <c r="K92" s="99" t="b">
        <v>0</v>
      </c>
      <c r="L92" s="95">
        <v>2015</v>
      </c>
      <c r="M92" s="96">
        <v>6352760</v>
      </c>
      <c r="N92" s="100">
        <v>41064</v>
      </c>
      <c r="O92" s="100">
        <v>41064</v>
      </c>
    </row>
    <row r="93" spans="1:15" ht="14.25">
      <c r="A93" s="97">
        <v>2012</v>
      </c>
      <c r="B93" s="98">
        <v>22012</v>
      </c>
      <c r="C93" s="98" t="s">
        <v>197</v>
      </c>
      <c r="D93" s="99">
        <v>206000</v>
      </c>
      <c r="E93" s="99">
        <v>0</v>
      </c>
      <c r="F93" s="99"/>
      <c r="G93" s="99">
        <v>7</v>
      </c>
      <c r="H93" s="99">
        <v>2</v>
      </c>
      <c r="I93" s="99"/>
      <c r="J93" s="99" t="s">
        <v>3</v>
      </c>
      <c r="K93" s="99" t="b">
        <v>1</v>
      </c>
      <c r="L93" s="95">
        <v>2018</v>
      </c>
      <c r="M93" s="96">
        <v>67320632</v>
      </c>
      <c r="N93" s="100">
        <v>41064</v>
      </c>
      <c r="O93" s="100">
        <v>41064</v>
      </c>
    </row>
    <row r="94" spans="1:15" ht="14.25">
      <c r="A94" s="97">
        <v>2012</v>
      </c>
      <c r="B94" s="98">
        <v>22012</v>
      </c>
      <c r="C94" s="98" t="s">
        <v>197</v>
      </c>
      <c r="D94" s="99">
        <v>206000</v>
      </c>
      <c r="E94" s="99">
        <v>0</v>
      </c>
      <c r="F94" s="99"/>
      <c r="G94" s="99">
        <v>21</v>
      </c>
      <c r="H94" s="99" t="s">
        <v>122</v>
      </c>
      <c r="I94" s="99"/>
      <c r="J94" s="99" t="s">
        <v>123</v>
      </c>
      <c r="K94" s="99" t="b">
        <v>1</v>
      </c>
      <c r="L94" s="95">
        <v>2014</v>
      </c>
      <c r="M94" s="96">
        <v>2398000</v>
      </c>
      <c r="N94" s="100">
        <v>41064</v>
      </c>
      <c r="O94" s="100">
        <v>41064</v>
      </c>
    </row>
    <row r="95" spans="1:15" ht="14.25">
      <c r="A95" s="97">
        <v>2012</v>
      </c>
      <c r="B95" s="98">
        <v>22012</v>
      </c>
      <c r="C95" s="98" t="s">
        <v>197</v>
      </c>
      <c r="D95" s="99">
        <v>206000</v>
      </c>
      <c r="E95" s="99">
        <v>0</v>
      </c>
      <c r="F95" s="99"/>
      <c r="G95" s="99">
        <v>44</v>
      </c>
      <c r="H95" s="99">
        <v>20</v>
      </c>
      <c r="I95" s="99" t="s">
        <v>215</v>
      </c>
      <c r="J95" s="99" t="s">
        <v>145</v>
      </c>
      <c r="K95" s="99" t="b">
        <v>1</v>
      </c>
      <c r="L95" s="95">
        <v>2015</v>
      </c>
      <c r="M95" s="96">
        <v>0.0827</v>
      </c>
      <c r="N95" s="100">
        <v>41064</v>
      </c>
      <c r="O95" s="100">
        <v>41064</v>
      </c>
    </row>
    <row r="96" spans="1:15" ht="14.25">
      <c r="A96" s="97">
        <v>2012</v>
      </c>
      <c r="B96" s="98">
        <v>22012</v>
      </c>
      <c r="C96" s="98" t="s">
        <v>197</v>
      </c>
      <c r="D96" s="99">
        <v>206000</v>
      </c>
      <c r="E96" s="99">
        <v>0</v>
      </c>
      <c r="F96" s="99"/>
      <c r="G96" s="99">
        <v>12</v>
      </c>
      <c r="H96" s="99" t="s">
        <v>112</v>
      </c>
      <c r="I96" s="99"/>
      <c r="J96" s="99" t="s">
        <v>113</v>
      </c>
      <c r="K96" s="99" t="b">
        <v>0</v>
      </c>
      <c r="L96" s="95">
        <v>2016</v>
      </c>
      <c r="M96" s="96">
        <v>563910</v>
      </c>
      <c r="N96" s="100">
        <v>41064</v>
      </c>
      <c r="O96" s="100">
        <v>41064</v>
      </c>
    </row>
    <row r="97" spans="1:15" ht="14.25">
      <c r="A97" s="97">
        <v>2012</v>
      </c>
      <c r="B97" s="98">
        <v>22012</v>
      </c>
      <c r="C97" s="98" t="s">
        <v>197</v>
      </c>
      <c r="D97" s="99">
        <v>206000</v>
      </c>
      <c r="E97" s="99">
        <v>0</v>
      </c>
      <c r="F97" s="99"/>
      <c r="G97" s="99">
        <v>26</v>
      </c>
      <c r="H97" s="99">
        <v>9</v>
      </c>
      <c r="I97" s="99" t="s">
        <v>205</v>
      </c>
      <c r="J97" s="99" t="s">
        <v>131</v>
      </c>
      <c r="K97" s="99" t="b">
        <v>0</v>
      </c>
      <c r="L97" s="95">
        <v>2014</v>
      </c>
      <c r="M97" s="96">
        <v>2826165</v>
      </c>
      <c r="N97" s="100">
        <v>41064</v>
      </c>
      <c r="O97" s="100">
        <v>41064</v>
      </c>
    </row>
    <row r="98" spans="1:15" ht="14.25">
      <c r="A98" s="97">
        <v>2012</v>
      </c>
      <c r="B98" s="98">
        <v>22012</v>
      </c>
      <c r="C98" s="98" t="s">
        <v>197</v>
      </c>
      <c r="D98" s="99">
        <v>206000</v>
      </c>
      <c r="E98" s="99">
        <v>0</v>
      </c>
      <c r="F98" s="99"/>
      <c r="G98" s="99">
        <v>38</v>
      </c>
      <c r="H98" s="99">
        <v>17</v>
      </c>
      <c r="I98" s="99"/>
      <c r="J98" s="99" t="s">
        <v>91</v>
      </c>
      <c r="K98" s="99" t="b">
        <v>1</v>
      </c>
      <c r="L98" s="95">
        <v>2016</v>
      </c>
      <c r="M98" s="96">
        <v>1085243</v>
      </c>
      <c r="N98" s="100">
        <v>41064</v>
      </c>
      <c r="O98" s="100">
        <v>41064</v>
      </c>
    </row>
    <row r="99" spans="1:15" ht="14.25">
      <c r="A99" s="97">
        <v>2012</v>
      </c>
      <c r="B99" s="98">
        <v>22012</v>
      </c>
      <c r="C99" s="98" t="s">
        <v>197</v>
      </c>
      <c r="D99" s="99">
        <v>206000</v>
      </c>
      <c r="E99" s="99">
        <v>0</v>
      </c>
      <c r="F99" s="99"/>
      <c r="G99" s="99">
        <v>49</v>
      </c>
      <c r="H99" s="99" t="s">
        <v>148</v>
      </c>
      <c r="I99" s="99" t="s">
        <v>204</v>
      </c>
      <c r="J99" s="99" t="s">
        <v>79</v>
      </c>
      <c r="K99" s="99" t="b">
        <v>0</v>
      </c>
      <c r="L99" s="95">
        <v>2013</v>
      </c>
      <c r="M99" s="96">
        <v>-207</v>
      </c>
      <c r="N99" s="100">
        <v>41064</v>
      </c>
      <c r="O99" s="100">
        <v>41064</v>
      </c>
    </row>
    <row r="100" spans="1:15" ht="14.25">
      <c r="A100" s="97">
        <v>2012</v>
      </c>
      <c r="B100" s="98">
        <v>22012</v>
      </c>
      <c r="C100" s="98" t="s">
        <v>197</v>
      </c>
      <c r="D100" s="99">
        <v>206000</v>
      </c>
      <c r="E100" s="99">
        <v>0</v>
      </c>
      <c r="F100" s="99"/>
      <c r="G100" s="99">
        <v>33</v>
      </c>
      <c r="H100" s="99">
        <v>13</v>
      </c>
      <c r="I100" s="99"/>
      <c r="J100" s="99" t="s">
        <v>66</v>
      </c>
      <c r="K100" s="99" t="b">
        <v>1</v>
      </c>
      <c r="L100" s="95">
        <v>2017</v>
      </c>
      <c r="M100" s="96">
        <v>5496000</v>
      </c>
      <c r="N100" s="100">
        <v>41064</v>
      </c>
      <c r="O100" s="100">
        <v>41064</v>
      </c>
    </row>
    <row r="101" spans="1:15" ht="14.25">
      <c r="A101" s="97">
        <v>2012</v>
      </c>
      <c r="B101" s="98">
        <v>22012</v>
      </c>
      <c r="C101" s="98" t="s">
        <v>197</v>
      </c>
      <c r="D101" s="99">
        <v>206000</v>
      </c>
      <c r="E101" s="99">
        <v>0</v>
      </c>
      <c r="F101" s="99"/>
      <c r="G101" s="99">
        <v>19</v>
      </c>
      <c r="H101" s="99">
        <v>6</v>
      </c>
      <c r="I101" s="99" t="s">
        <v>210</v>
      </c>
      <c r="J101" s="99" t="s">
        <v>121</v>
      </c>
      <c r="K101" s="99" t="b">
        <v>0</v>
      </c>
      <c r="L101" s="95">
        <v>2018</v>
      </c>
      <c r="M101" s="96">
        <v>9033064</v>
      </c>
      <c r="N101" s="100">
        <v>41064</v>
      </c>
      <c r="O101" s="100">
        <v>41064</v>
      </c>
    </row>
    <row r="102" spans="1:15" ht="14.25">
      <c r="A102" s="97">
        <v>2012</v>
      </c>
      <c r="B102" s="98">
        <v>22012</v>
      </c>
      <c r="C102" s="98" t="s">
        <v>197</v>
      </c>
      <c r="D102" s="99">
        <v>206000</v>
      </c>
      <c r="E102" s="99">
        <v>0</v>
      </c>
      <c r="F102" s="99"/>
      <c r="G102" s="99">
        <v>21</v>
      </c>
      <c r="H102" s="99" t="s">
        <v>122</v>
      </c>
      <c r="I102" s="99"/>
      <c r="J102" s="99" t="s">
        <v>123</v>
      </c>
      <c r="K102" s="99" t="b">
        <v>1</v>
      </c>
      <c r="L102" s="95">
        <v>2018</v>
      </c>
      <c r="M102" s="96">
        <v>1998000</v>
      </c>
      <c r="N102" s="100">
        <v>41064</v>
      </c>
      <c r="O102" s="100">
        <v>41064</v>
      </c>
    </row>
    <row r="103" spans="1:15" ht="14.25">
      <c r="A103" s="97">
        <v>2012</v>
      </c>
      <c r="B103" s="98">
        <v>22012</v>
      </c>
      <c r="C103" s="98" t="s">
        <v>197</v>
      </c>
      <c r="D103" s="99">
        <v>206000</v>
      </c>
      <c r="E103" s="99">
        <v>0</v>
      </c>
      <c r="F103" s="99"/>
      <c r="G103" s="99">
        <v>9</v>
      </c>
      <c r="H103" s="99" t="s">
        <v>106</v>
      </c>
      <c r="I103" s="99"/>
      <c r="J103" s="99" t="s">
        <v>107</v>
      </c>
      <c r="K103" s="99" t="b">
        <v>0</v>
      </c>
      <c r="L103" s="95">
        <v>2014</v>
      </c>
      <c r="M103" s="96">
        <v>7400000</v>
      </c>
      <c r="N103" s="100">
        <v>41064</v>
      </c>
      <c r="O103" s="100">
        <v>41064</v>
      </c>
    </row>
    <row r="104" spans="1:15" ht="14.25">
      <c r="A104" s="97">
        <v>2012</v>
      </c>
      <c r="B104" s="98">
        <v>22012</v>
      </c>
      <c r="C104" s="98" t="s">
        <v>197</v>
      </c>
      <c r="D104" s="99">
        <v>206000</v>
      </c>
      <c r="E104" s="99">
        <v>0</v>
      </c>
      <c r="F104" s="99"/>
      <c r="G104" s="99">
        <v>1</v>
      </c>
      <c r="H104" s="99">
        <v>1</v>
      </c>
      <c r="I104" s="99" t="s">
        <v>198</v>
      </c>
      <c r="J104" s="99" t="s">
        <v>93</v>
      </c>
      <c r="K104" s="99" t="b">
        <v>1</v>
      </c>
      <c r="L104" s="95">
        <v>2013</v>
      </c>
      <c r="M104" s="96">
        <v>66487152</v>
      </c>
      <c r="N104" s="100">
        <v>41064</v>
      </c>
      <c r="O104" s="100">
        <v>41064</v>
      </c>
    </row>
    <row r="105" spans="1:15" ht="14.25">
      <c r="A105" s="97">
        <v>2012</v>
      </c>
      <c r="B105" s="98">
        <v>22012</v>
      </c>
      <c r="C105" s="98" t="s">
        <v>197</v>
      </c>
      <c r="D105" s="99">
        <v>206000</v>
      </c>
      <c r="E105" s="99">
        <v>0</v>
      </c>
      <c r="F105" s="99"/>
      <c r="G105" s="99">
        <v>40</v>
      </c>
      <c r="H105" s="99">
        <v>18</v>
      </c>
      <c r="I105" s="99" t="s">
        <v>217</v>
      </c>
      <c r="J105" s="99" t="s">
        <v>69</v>
      </c>
      <c r="K105" s="99" t="b">
        <v>0</v>
      </c>
      <c r="L105" s="95">
        <v>2019</v>
      </c>
      <c r="M105" s="96">
        <v>0.019</v>
      </c>
      <c r="N105" s="100">
        <v>41064</v>
      </c>
      <c r="O105" s="100">
        <v>41064</v>
      </c>
    </row>
    <row r="106" spans="1:15" ht="14.25">
      <c r="A106" s="97">
        <v>2012</v>
      </c>
      <c r="B106" s="98">
        <v>22012</v>
      </c>
      <c r="C106" s="98" t="s">
        <v>197</v>
      </c>
      <c r="D106" s="99">
        <v>206000</v>
      </c>
      <c r="E106" s="99">
        <v>0</v>
      </c>
      <c r="F106" s="99"/>
      <c r="G106" s="99">
        <v>2</v>
      </c>
      <c r="H106" s="99" t="s">
        <v>94</v>
      </c>
      <c r="I106" s="99"/>
      <c r="J106" s="99" t="s">
        <v>95</v>
      </c>
      <c r="K106" s="99" t="b">
        <v>1</v>
      </c>
      <c r="L106" s="95">
        <v>2012</v>
      </c>
      <c r="M106" s="96">
        <v>66365258</v>
      </c>
      <c r="N106" s="100">
        <v>41064</v>
      </c>
      <c r="O106" s="100">
        <v>41064</v>
      </c>
    </row>
    <row r="107" spans="1:15" ht="14.25">
      <c r="A107" s="97">
        <v>2012</v>
      </c>
      <c r="B107" s="98">
        <v>22012</v>
      </c>
      <c r="C107" s="98" t="s">
        <v>197</v>
      </c>
      <c r="D107" s="99">
        <v>206000</v>
      </c>
      <c r="E107" s="99">
        <v>0</v>
      </c>
      <c r="F107" s="99"/>
      <c r="G107" s="99">
        <v>40</v>
      </c>
      <c r="H107" s="99">
        <v>18</v>
      </c>
      <c r="I107" s="99" t="s">
        <v>217</v>
      </c>
      <c r="J107" s="99" t="s">
        <v>69</v>
      </c>
      <c r="K107" s="99" t="b">
        <v>0</v>
      </c>
      <c r="L107" s="95">
        <v>2015</v>
      </c>
      <c r="M107" s="96">
        <v>0.1433</v>
      </c>
      <c r="N107" s="100">
        <v>41064</v>
      </c>
      <c r="O107" s="100">
        <v>41064</v>
      </c>
    </row>
    <row r="108" spans="1:15" ht="14.25">
      <c r="A108" s="97">
        <v>2012</v>
      </c>
      <c r="B108" s="98">
        <v>22012</v>
      </c>
      <c r="C108" s="98" t="s">
        <v>197</v>
      </c>
      <c r="D108" s="99">
        <v>206000</v>
      </c>
      <c r="E108" s="99">
        <v>0</v>
      </c>
      <c r="F108" s="99"/>
      <c r="G108" s="99">
        <v>8</v>
      </c>
      <c r="H108" s="99" t="s">
        <v>104</v>
      </c>
      <c r="I108" s="99"/>
      <c r="J108" s="99" t="s">
        <v>105</v>
      </c>
      <c r="K108" s="99" t="b">
        <v>0</v>
      </c>
      <c r="L108" s="95">
        <v>2012</v>
      </c>
      <c r="M108" s="96">
        <v>28381181</v>
      </c>
      <c r="N108" s="100">
        <v>41064</v>
      </c>
      <c r="O108" s="100">
        <v>41064</v>
      </c>
    </row>
    <row r="109" spans="1:15" ht="14.25">
      <c r="A109" s="97">
        <v>2012</v>
      </c>
      <c r="B109" s="98">
        <v>22012</v>
      </c>
      <c r="C109" s="98" t="s">
        <v>197</v>
      </c>
      <c r="D109" s="99">
        <v>206000</v>
      </c>
      <c r="E109" s="99">
        <v>0</v>
      </c>
      <c r="F109" s="99"/>
      <c r="G109" s="99">
        <v>44</v>
      </c>
      <c r="H109" s="99">
        <v>20</v>
      </c>
      <c r="I109" s="99" t="s">
        <v>215</v>
      </c>
      <c r="J109" s="99" t="s">
        <v>145</v>
      </c>
      <c r="K109" s="99" t="b">
        <v>1</v>
      </c>
      <c r="L109" s="95">
        <v>2014</v>
      </c>
      <c r="M109" s="96">
        <v>0.0779</v>
      </c>
      <c r="N109" s="100">
        <v>41064</v>
      </c>
      <c r="O109" s="100">
        <v>41064</v>
      </c>
    </row>
    <row r="110" spans="1:15" ht="14.25">
      <c r="A110" s="97">
        <v>2012</v>
      </c>
      <c r="B110" s="98">
        <v>22012</v>
      </c>
      <c r="C110" s="98" t="s">
        <v>197</v>
      </c>
      <c r="D110" s="99">
        <v>206000</v>
      </c>
      <c r="E110" s="99">
        <v>0</v>
      </c>
      <c r="F110" s="99"/>
      <c r="G110" s="99">
        <v>52</v>
      </c>
      <c r="H110" s="99">
        <v>25</v>
      </c>
      <c r="I110" s="99" t="s">
        <v>212</v>
      </c>
      <c r="J110" s="99" t="s">
        <v>49</v>
      </c>
      <c r="K110" s="99" t="b">
        <v>1</v>
      </c>
      <c r="L110" s="95">
        <v>2017</v>
      </c>
      <c r="M110" s="96">
        <v>7709022</v>
      </c>
      <c r="N110" s="100">
        <v>41064</v>
      </c>
      <c r="O110" s="100">
        <v>41064</v>
      </c>
    </row>
    <row r="111" spans="1:15" ht="14.25">
      <c r="A111" s="97">
        <v>2012</v>
      </c>
      <c r="B111" s="98">
        <v>22012</v>
      </c>
      <c r="C111" s="98" t="s">
        <v>197</v>
      </c>
      <c r="D111" s="99">
        <v>206000</v>
      </c>
      <c r="E111" s="99">
        <v>0</v>
      </c>
      <c r="F111" s="99"/>
      <c r="G111" s="99">
        <v>45</v>
      </c>
      <c r="H111" s="99" t="s">
        <v>146</v>
      </c>
      <c r="I111" s="99" t="s">
        <v>206</v>
      </c>
      <c r="J111" s="99" t="s">
        <v>53</v>
      </c>
      <c r="K111" s="99" t="b">
        <v>0</v>
      </c>
      <c r="L111" s="95">
        <v>2014</v>
      </c>
      <c r="M111" s="96">
        <v>0.0491</v>
      </c>
      <c r="N111" s="100">
        <v>41064</v>
      </c>
      <c r="O111" s="100">
        <v>41064</v>
      </c>
    </row>
    <row r="112" spans="1:15" ht="14.25">
      <c r="A112" s="97">
        <v>2012</v>
      </c>
      <c r="B112" s="98">
        <v>22012</v>
      </c>
      <c r="C112" s="98" t="s">
        <v>197</v>
      </c>
      <c r="D112" s="99">
        <v>206000</v>
      </c>
      <c r="E112" s="99">
        <v>0</v>
      </c>
      <c r="F112" s="99"/>
      <c r="G112" s="99">
        <v>47</v>
      </c>
      <c r="H112" s="99" t="s">
        <v>147</v>
      </c>
      <c r="I112" s="99" t="s">
        <v>207</v>
      </c>
      <c r="J112" s="99" t="s">
        <v>76</v>
      </c>
      <c r="K112" s="99" t="b">
        <v>0</v>
      </c>
      <c r="L112" s="95">
        <v>2018</v>
      </c>
      <c r="M112" s="96">
        <v>640</v>
      </c>
      <c r="N112" s="100">
        <v>41064</v>
      </c>
      <c r="O112" s="100">
        <v>41064</v>
      </c>
    </row>
    <row r="113" spans="1:15" ht="14.25">
      <c r="A113" s="97">
        <v>2012</v>
      </c>
      <c r="B113" s="98">
        <v>22012</v>
      </c>
      <c r="C113" s="98" t="s">
        <v>197</v>
      </c>
      <c r="D113" s="99">
        <v>206000</v>
      </c>
      <c r="E113" s="99">
        <v>0</v>
      </c>
      <c r="F113" s="99"/>
      <c r="G113" s="99">
        <v>14</v>
      </c>
      <c r="H113" s="99">
        <v>3</v>
      </c>
      <c r="I113" s="99" t="s">
        <v>213</v>
      </c>
      <c r="J113" s="99" t="s">
        <v>116</v>
      </c>
      <c r="K113" s="99" t="b">
        <v>1</v>
      </c>
      <c r="L113" s="95">
        <v>2016</v>
      </c>
      <c r="M113" s="96">
        <v>7200246</v>
      </c>
      <c r="N113" s="100">
        <v>41064</v>
      </c>
      <c r="O113" s="100">
        <v>41064</v>
      </c>
    </row>
    <row r="114" spans="1:15" ht="14.25">
      <c r="A114" s="97">
        <v>2012</v>
      </c>
      <c r="B114" s="98">
        <v>22012</v>
      </c>
      <c r="C114" s="98" t="s">
        <v>197</v>
      </c>
      <c r="D114" s="99">
        <v>206000</v>
      </c>
      <c r="E114" s="99">
        <v>0</v>
      </c>
      <c r="F114" s="99"/>
      <c r="G114" s="99">
        <v>40</v>
      </c>
      <c r="H114" s="99">
        <v>18</v>
      </c>
      <c r="I114" s="99" t="s">
        <v>217</v>
      </c>
      <c r="J114" s="99" t="s">
        <v>69</v>
      </c>
      <c r="K114" s="99" t="b">
        <v>0</v>
      </c>
      <c r="L114" s="95">
        <v>2013</v>
      </c>
      <c r="M114" s="96">
        <v>0.2443</v>
      </c>
      <c r="N114" s="100">
        <v>41064</v>
      </c>
      <c r="O114" s="100">
        <v>41064</v>
      </c>
    </row>
    <row r="115" spans="1:15" ht="14.25">
      <c r="A115" s="97">
        <v>2012</v>
      </c>
      <c r="B115" s="98">
        <v>22012</v>
      </c>
      <c r="C115" s="98" t="s">
        <v>197</v>
      </c>
      <c r="D115" s="99">
        <v>206000</v>
      </c>
      <c r="E115" s="99">
        <v>0</v>
      </c>
      <c r="F115" s="99"/>
      <c r="G115" s="99">
        <v>21</v>
      </c>
      <c r="H115" s="99" t="s">
        <v>122</v>
      </c>
      <c r="I115" s="99"/>
      <c r="J115" s="99" t="s">
        <v>123</v>
      </c>
      <c r="K115" s="99" t="b">
        <v>1</v>
      </c>
      <c r="L115" s="95">
        <v>2013</v>
      </c>
      <c r="M115" s="96">
        <v>3048000</v>
      </c>
      <c r="N115" s="100">
        <v>41064</v>
      </c>
      <c r="O115" s="100">
        <v>41064</v>
      </c>
    </row>
    <row r="116" spans="1:15" ht="14.25">
      <c r="A116" s="97">
        <v>2012</v>
      </c>
      <c r="B116" s="98">
        <v>22012</v>
      </c>
      <c r="C116" s="98" t="s">
        <v>197</v>
      </c>
      <c r="D116" s="99">
        <v>206000</v>
      </c>
      <c r="E116" s="99">
        <v>0</v>
      </c>
      <c r="F116" s="99"/>
      <c r="G116" s="99">
        <v>19</v>
      </c>
      <c r="H116" s="99">
        <v>6</v>
      </c>
      <c r="I116" s="99" t="s">
        <v>210</v>
      </c>
      <c r="J116" s="99" t="s">
        <v>121</v>
      </c>
      <c r="K116" s="99" t="b">
        <v>0</v>
      </c>
      <c r="L116" s="95">
        <v>2020</v>
      </c>
      <c r="M116" s="96">
        <v>11063249</v>
      </c>
      <c r="N116" s="100">
        <v>41064</v>
      </c>
      <c r="O116" s="100">
        <v>41064</v>
      </c>
    </row>
    <row r="117" spans="1:15" ht="14.25">
      <c r="A117" s="97">
        <v>2012</v>
      </c>
      <c r="B117" s="98">
        <v>22012</v>
      </c>
      <c r="C117" s="98" t="s">
        <v>197</v>
      </c>
      <c r="D117" s="99">
        <v>206000</v>
      </c>
      <c r="E117" s="99">
        <v>0</v>
      </c>
      <c r="F117" s="99"/>
      <c r="G117" s="99">
        <v>57</v>
      </c>
      <c r="H117" s="99">
        <v>30</v>
      </c>
      <c r="I117" s="99" t="s">
        <v>200</v>
      </c>
      <c r="J117" s="99" t="s">
        <v>153</v>
      </c>
      <c r="K117" s="99" t="b">
        <v>0</v>
      </c>
      <c r="L117" s="95">
        <v>2020</v>
      </c>
      <c r="M117" s="96">
        <v>1500000</v>
      </c>
      <c r="N117" s="100">
        <v>41064</v>
      </c>
      <c r="O117" s="100">
        <v>41064</v>
      </c>
    </row>
    <row r="118" spans="1:15" ht="14.25">
      <c r="A118" s="97">
        <v>2012</v>
      </c>
      <c r="B118" s="98">
        <v>22012</v>
      </c>
      <c r="C118" s="98" t="s">
        <v>197</v>
      </c>
      <c r="D118" s="99">
        <v>206000</v>
      </c>
      <c r="E118" s="99">
        <v>0</v>
      </c>
      <c r="F118" s="99"/>
      <c r="G118" s="99">
        <v>23</v>
      </c>
      <c r="H118" s="99" t="s">
        <v>126</v>
      </c>
      <c r="I118" s="99"/>
      <c r="J118" s="99" t="s">
        <v>127</v>
      </c>
      <c r="K118" s="99" t="b">
        <v>1</v>
      </c>
      <c r="L118" s="95">
        <v>2020</v>
      </c>
      <c r="M118" s="96">
        <v>71000</v>
      </c>
      <c r="N118" s="100">
        <v>41064</v>
      </c>
      <c r="O118" s="100">
        <v>41064</v>
      </c>
    </row>
    <row r="119" spans="1:15" ht="14.25">
      <c r="A119" s="97">
        <v>2012</v>
      </c>
      <c r="B119" s="98">
        <v>22012</v>
      </c>
      <c r="C119" s="98" t="s">
        <v>197</v>
      </c>
      <c r="D119" s="99">
        <v>206000</v>
      </c>
      <c r="E119" s="99">
        <v>0</v>
      </c>
      <c r="F119" s="99"/>
      <c r="G119" s="99">
        <v>53</v>
      </c>
      <c r="H119" s="99">
        <v>26</v>
      </c>
      <c r="I119" s="99" t="s">
        <v>211</v>
      </c>
      <c r="J119" s="99" t="s">
        <v>151</v>
      </c>
      <c r="K119" s="99" t="b">
        <v>1</v>
      </c>
      <c r="L119" s="95">
        <v>2018</v>
      </c>
      <c r="M119" s="96">
        <v>76353696</v>
      </c>
      <c r="N119" s="100">
        <v>41064</v>
      </c>
      <c r="O119" s="100">
        <v>41064</v>
      </c>
    </row>
    <row r="120" spans="1:15" ht="14.25">
      <c r="A120" s="97">
        <v>2012</v>
      </c>
      <c r="B120" s="98">
        <v>22012</v>
      </c>
      <c r="C120" s="98" t="s">
        <v>197</v>
      </c>
      <c r="D120" s="99">
        <v>206000</v>
      </c>
      <c r="E120" s="99">
        <v>0</v>
      </c>
      <c r="F120" s="99"/>
      <c r="G120" s="99">
        <v>9</v>
      </c>
      <c r="H120" s="99" t="s">
        <v>106</v>
      </c>
      <c r="I120" s="99"/>
      <c r="J120" s="99" t="s">
        <v>107</v>
      </c>
      <c r="K120" s="99" t="b">
        <v>0</v>
      </c>
      <c r="L120" s="95">
        <v>2017</v>
      </c>
      <c r="M120" s="96">
        <v>7859811</v>
      </c>
      <c r="N120" s="100">
        <v>41064</v>
      </c>
      <c r="O120" s="100">
        <v>41064</v>
      </c>
    </row>
    <row r="121" spans="1:15" ht="14.25">
      <c r="A121" s="97">
        <v>2012</v>
      </c>
      <c r="B121" s="98">
        <v>22012</v>
      </c>
      <c r="C121" s="98" t="s">
        <v>197</v>
      </c>
      <c r="D121" s="99">
        <v>206000</v>
      </c>
      <c r="E121" s="99">
        <v>0</v>
      </c>
      <c r="F121" s="99"/>
      <c r="G121" s="99">
        <v>38</v>
      </c>
      <c r="H121" s="99">
        <v>17</v>
      </c>
      <c r="I121" s="99"/>
      <c r="J121" s="99" t="s">
        <v>91</v>
      </c>
      <c r="K121" s="99" t="b">
        <v>1</v>
      </c>
      <c r="L121" s="95">
        <v>2012</v>
      </c>
      <c r="M121" s="96">
        <v>3101906</v>
      </c>
      <c r="N121" s="100">
        <v>41064</v>
      </c>
      <c r="O121" s="100">
        <v>41064</v>
      </c>
    </row>
    <row r="122" spans="1:15" ht="14.25">
      <c r="A122" s="97">
        <v>2012</v>
      </c>
      <c r="B122" s="98">
        <v>22012</v>
      </c>
      <c r="C122" s="98" t="s">
        <v>197</v>
      </c>
      <c r="D122" s="99">
        <v>206000</v>
      </c>
      <c r="E122" s="99">
        <v>0</v>
      </c>
      <c r="F122" s="99"/>
      <c r="G122" s="99">
        <v>40</v>
      </c>
      <c r="H122" s="99">
        <v>18</v>
      </c>
      <c r="I122" s="99" t="s">
        <v>217</v>
      </c>
      <c r="J122" s="99" t="s">
        <v>69</v>
      </c>
      <c r="K122" s="99" t="b">
        <v>0</v>
      </c>
      <c r="L122" s="95">
        <v>2014</v>
      </c>
      <c r="M122" s="96">
        <v>0.204</v>
      </c>
      <c r="N122" s="100">
        <v>41064</v>
      </c>
      <c r="O122" s="100">
        <v>41064</v>
      </c>
    </row>
    <row r="123" spans="1:15" ht="14.25">
      <c r="A123" s="97">
        <v>2012</v>
      </c>
      <c r="B123" s="98">
        <v>22012</v>
      </c>
      <c r="C123" s="98" t="s">
        <v>197</v>
      </c>
      <c r="D123" s="99">
        <v>206000</v>
      </c>
      <c r="E123" s="99">
        <v>0</v>
      </c>
      <c r="F123" s="99"/>
      <c r="G123" s="99">
        <v>33</v>
      </c>
      <c r="H123" s="99">
        <v>13</v>
      </c>
      <c r="I123" s="99"/>
      <c r="J123" s="99" t="s">
        <v>66</v>
      </c>
      <c r="K123" s="99" t="b">
        <v>1</v>
      </c>
      <c r="L123" s="95">
        <v>2015</v>
      </c>
      <c r="M123" s="96">
        <v>9868000</v>
      </c>
      <c r="N123" s="100">
        <v>41064</v>
      </c>
      <c r="O123" s="100">
        <v>41064</v>
      </c>
    </row>
    <row r="124" spans="1:15" ht="14.25">
      <c r="A124" s="97">
        <v>2012</v>
      </c>
      <c r="B124" s="98">
        <v>22012</v>
      </c>
      <c r="C124" s="98" t="s">
        <v>197</v>
      </c>
      <c r="D124" s="99">
        <v>206000</v>
      </c>
      <c r="E124" s="99">
        <v>0</v>
      </c>
      <c r="F124" s="99"/>
      <c r="G124" s="99">
        <v>42</v>
      </c>
      <c r="H124" s="99">
        <v>19</v>
      </c>
      <c r="I124" s="99" t="s">
        <v>218</v>
      </c>
      <c r="J124" s="99" t="s">
        <v>72</v>
      </c>
      <c r="K124" s="99" t="b">
        <v>1</v>
      </c>
      <c r="L124" s="95">
        <v>2012</v>
      </c>
      <c r="M124" s="96">
        <v>0.0652</v>
      </c>
      <c r="N124" s="100">
        <v>41064</v>
      </c>
      <c r="O124" s="100">
        <v>41064</v>
      </c>
    </row>
    <row r="125" spans="1:15" ht="14.25">
      <c r="A125" s="97">
        <v>2012</v>
      </c>
      <c r="B125" s="98">
        <v>22012</v>
      </c>
      <c r="C125" s="98" t="s">
        <v>197</v>
      </c>
      <c r="D125" s="99">
        <v>206000</v>
      </c>
      <c r="E125" s="99">
        <v>0</v>
      </c>
      <c r="F125" s="99"/>
      <c r="G125" s="99">
        <v>24</v>
      </c>
      <c r="H125" s="99" t="s">
        <v>128</v>
      </c>
      <c r="I125" s="99"/>
      <c r="J125" s="99" t="s">
        <v>129</v>
      </c>
      <c r="K125" s="99" t="b">
        <v>1</v>
      </c>
      <c r="L125" s="95">
        <v>2014</v>
      </c>
      <c r="M125" s="96">
        <v>824500</v>
      </c>
      <c r="N125" s="100">
        <v>41064</v>
      </c>
      <c r="O125" s="100">
        <v>41064</v>
      </c>
    </row>
    <row r="126" spans="1:15" ht="14.25">
      <c r="A126" s="97">
        <v>2012</v>
      </c>
      <c r="B126" s="98">
        <v>22012</v>
      </c>
      <c r="C126" s="98" t="s">
        <v>197</v>
      </c>
      <c r="D126" s="99">
        <v>206000</v>
      </c>
      <c r="E126" s="99">
        <v>0</v>
      </c>
      <c r="F126" s="99"/>
      <c r="G126" s="99">
        <v>14</v>
      </c>
      <c r="H126" s="99">
        <v>3</v>
      </c>
      <c r="I126" s="99" t="s">
        <v>213</v>
      </c>
      <c r="J126" s="99" t="s">
        <v>116</v>
      </c>
      <c r="K126" s="99" t="b">
        <v>1</v>
      </c>
      <c r="L126" s="95">
        <v>2018</v>
      </c>
      <c r="M126" s="96">
        <v>9033064</v>
      </c>
      <c r="N126" s="100">
        <v>41064</v>
      </c>
      <c r="O126" s="100">
        <v>41064</v>
      </c>
    </row>
    <row r="127" spans="1:15" ht="14.25">
      <c r="A127" s="97">
        <v>2012</v>
      </c>
      <c r="B127" s="98">
        <v>22012</v>
      </c>
      <c r="C127" s="98" t="s">
        <v>197</v>
      </c>
      <c r="D127" s="99">
        <v>206000</v>
      </c>
      <c r="E127" s="99">
        <v>0</v>
      </c>
      <c r="F127" s="99"/>
      <c r="G127" s="99">
        <v>46</v>
      </c>
      <c r="H127" s="99">
        <v>21</v>
      </c>
      <c r="I127" s="99" t="s">
        <v>209</v>
      </c>
      <c r="J127" s="99" t="s">
        <v>54</v>
      </c>
      <c r="K127" s="99" t="b">
        <v>1</v>
      </c>
      <c r="L127" s="95">
        <v>2017</v>
      </c>
      <c r="M127" s="96">
        <v>0.0255</v>
      </c>
      <c r="N127" s="100">
        <v>41064</v>
      </c>
      <c r="O127" s="100">
        <v>41064</v>
      </c>
    </row>
    <row r="128" spans="1:15" ht="14.25">
      <c r="A128" s="97">
        <v>2012</v>
      </c>
      <c r="B128" s="98">
        <v>22012</v>
      </c>
      <c r="C128" s="98" t="s">
        <v>197</v>
      </c>
      <c r="D128" s="99">
        <v>206000</v>
      </c>
      <c r="E128" s="99">
        <v>0</v>
      </c>
      <c r="F128" s="99"/>
      <c r="G128" s="99">
        <v>33</v>
      </c>
      <c r="H128" s="99">
        <v>13</v>
      </c>
      <c r="I128" s="99"/>
      <c r="J128" s="99" t="s">
        <v>66</v>
      </c>
      <c r="K128" s="99" t="b">
        <v>1</v>
      </c>
      <c r="L128" s="95">
        <v>2014</v>
      </c>
      <c r="M128" s="96">
        <v>13675000</v>
      </c>
      <c r="N128" s="100">
        <v>41064</v>
      </c>
      <c r="O128" s="100">
        <v>41064</v>
      </c>
    </row>
    <row r="129" spans="1:15" ht="14.25">
      <c r="A129" s="97">
        <v>2012</v>
      </c>
      <c r="B129" s="98">
        <v>22012</v>
      </c>
      <c r="C129" s="98" t="s">
        <v>197</v>
      </c>
      <c r="D129" s="99">
        <v>206000</v>
      </c>
      <c r="E129" s="99">
        <v>0</v>
      </c>
      <c r="F129" s="99"/>
      <c r="G129" s="99">
        <v>45</v>
      </c>
      <c r="H129" s="99" t="s">
        <v>146</v>
      </c>
      <c r="I129" s="99" t="s">
        <v>206</v>
      </c>
      <c r="J129" s="99" t="s">
        <v>53</v>
      </c>
      <c r="K129" s="99" t="b">
        <v>0</v>
      </c>
      <c r="L129" s="95">
        <v>2017</v>
      </c>
      <c r="M129" s="96">
        <v>0.0849</v>
      </c>
      <c r="N129" s="100">
        <v>41064</v>
      </c>
      <c r="O129" s="100">
        <v>41064</v>
      </c>
    </row>
    <row r="130" spans="1:15" ht="14.25">
      <c r="A130" s="97">
        <v>2012</v>
      </c>
      <c r="B130" s="98">
        <v>22012</v>
      </c>
      <c r="C130" s="98" t="s">
        <v>197</v>
      </c>
      <c r="D130" s="99">
        <v>206000</v>
      </c>
      <c r="E130" s="99">
        <v>0</v>
      </c>
      <c r="F130" s="99"/>
      <c r="G130" s="99">
        <v>34</v>
      </c>
      <c r="H130" s="99" t="s">
        <v>137</v>
      </c>
      <c r="I130" s="99"/>
      <c r="J130" s="99" t="s">
        <v>138</v>
      </c>
      <c r="K130" s="99" t="b">
        <v>1</v>
      </c>
      <c r="L130" s="95">
        <v>2015</v>
      </c>
      <c r="M130" s="96">
        <v>76000</v>
      </c>
      <c r="N130" s="100">
        <v>41064</v>
      </c>
      <c r="O130" s="100">
        <v>41064</v>
      </c>
    </row>
    <row r="131" spans="1:15" ht="14.25">
      <c r="A131" s="97">
        <v>2012</v>
      </c>
      <c r="B131" s="98">
        <v>22012</v>
      </c>
      <c r="C131" s="98" t="s">
        <v>197</v>
      </c>
      <c r="D131" s="99">
        <v>206000</v>
      </c>
      <c r="E131" s="99">
        <v>0</v>
      </c>
      <c r="F131" s="99"/>
      <c r="G131" s="99">
        <v>49</v>
      </c>
      <c r="H131" s="99" t="s">
        <v>148</v>
      </c>
      <c r="I131" s="99" t="s">
        <v>204</v>
      </c>
      <c r="J131" s="99" t="s">
        <v>79</v>
      </c>
      <c r="K131" s="99" t="b">
        <v>0</v>
      </c>
      <c r="L131" s="95">
        <v>2016</v>
      </c>
      <c r="M131" s="96">
        <v>399</v>
      </c>
      <c r="N131" s="100">
        <v>41064</v>
      </c>
      <c r="O131" s="100">
        <v>41064</v>
      </c>
    </row>
    <row r="132" spans="1:15" ht="14.25">
      <c r="A132" s="97">
        <v>2012</v>
      </c>
      <c r="B132" s="98">
        <v>22012</v>
      </c>
      <c r="C132" s="98" t="s">
        <v>197</v>
      </c>
      <c r="D132" s="99">
        <v>206000</v>
      </c>
      <c r="E132" s="99">
        <v>0</v>
      </c>
      <c r="F132" s="99"/>
      <c r="G132" s="99">
        <v>51</v>
      </c>
      <c r="H132" s="99">
        <v>24</v>
      </c>
      <c r="I132" s="99" t="s">
        <v>201</v>
      </c>
      <c r="J132" s="99" t="s">
        <v>150</v>
      </c>
      <c r="K132" s="99" t="b">
        <v>1</v>
      </c>
      <c r="L132" s="95">
        <v>2020</v>
      </c>
      <c r="M132" s="96">
        <v>70799739</v>
      </c>
      <c r="N132" s="100">
        <v>41064</v>
      </c>
      <c r="O132" s="100">
        <v>41064</v>
      </c>
    </row>
    <row r="133" spans="1:15" ht="14.25">
      <c r="A133" s="97">
        <v>2012</v>
      </c>
      <c r="B133" s="98">
        <v>22012</v>
      </c>
      <c r="C133" s="98" t="s">
        <v>197</v>
      </c>
      <c r="D133" s="99">
        <v>206000</v>
      </c>
      <c r="E133" s="99">
        <v>0</v>
      </c>
      <c r="F133" s="99"/>
      <c r="G133" s="99">
        <v>24</v>
      </c>
      <c r="H133" s="99" t="s">
        <v>128</v>
      </c>
      <c r="I133" s="99"/>
      <c r="J133" s="99" t="s">
        <v>129</v>
      </c>
      <c r="K133" s="99" t="b">
        <v>1</v>
      </c>
      <c r="L133" s="95">
        <v>2018</v>
      </c>
      <c r="M133" s="96">
        <v>281000</v>
      </c>
      <c r="N133" s="100">
        <v>41064</v>
      </c>
      <c r="O133" s="100">
        <v>41064</v>
      </c>
    </row>
    <row r="134" spans="1:15" ht="14.25">
      <c r="A134" s="97">
        <v>2012</v>
      </c>
      <c r="B134" s="98">
        <v>22012</v>
      </c>
      <c r="C134" s="98" t="s">
        <v>197</v>
      </c>
      <c r="D134" s="99">
        <v>206000</v>
      </c>
      <c r="E134" s="99">
        <v>0</v>
      </c>
      <c r="F134" s="99"/>
      <c r="G134" s="99">
        <v>45</v>
      </c>
      <c r="H134" s="99" t="s">
        <v>146</v>
      </c>
      <c r="I134" s="99" t="s">
        <v>206</v>
      </c>
      <c r="J134" s="99" t="s">
        <v>53</v>
      </c>
      <c r="K134" s="99" t="b">
        <v>0</v>
      </c>
      <c r="L134" s="95">
        <v>2016</v>
      </c>
      <c r="M134" s="96">
        <v>0.086</v>
      </c>
      <c r="N134" s="100">
        <v>41064</v>
      </c>
      <c r="O134" s="100">
        <v>41064</v>
      </c>
    </row>
    <row r="135" spans="1:15" ht="14.25">
      <c r="A135" s="97">
        <v>2012</v>
      </c>
      <c r="B135" s="98">
        <v>22012</v>
      </c>
      <c r="C135" s="98" t="s">
        <v>197</v>
      </c>
      <c r="D135" s="99">
        <v>206000</v>
      </c>
      <c r="E135" s="99">
        <v>0</v>
      </c>
      <c r="F135" s="99"/>
      <c r="G135" s="99">
        <v>51</v>
      </c>
      <c r="H135" s="99">
        <v>24</v>
      </c>
      <c r="I135" s="99" t="s">
        <v>201</v>
      </c>
      <c r="J135" s="99" t="s">
        <v>150</v>
      </c>
      <c r="K135" s="99" t="b">
        <v>1</v>
      </c>
      <c r="L135" s="95">
        <v>2014</v>
      </c>
      <c r="M135" s="96">
        <v>61813670</v>
      </c>
      <c r="N135" s="100">
        <v>41064</v>
      </c>
      <c r="O135" s="100">
        <v>41064</v>
      </c>
    </row>
    <row r="136" spans="1:15" ht="14.25">
      <c r="A136" s="97">
        <v>2012</v>
      </c>
      <c r="B136" s="98">
        <v>22012</v>
      </c>
      <c r="C136" s="98" t="s">
        <v>197</v>
      </c>
      <c r="D136" s="99">
        <v>206000</v>
      </c>
      <c r="E136" s="99">
        <v>0</v>
      </c>
      <c r="F136" s="99"/>
      <c r="G136" s="99">
        <v>40</v>
      </c>
      <c r="H136" s="99">
        <v>18</v>
      </c>
      <c r="I136" s="99" t="s">
        <v>217</v>
      </c>
      <c r="J136" s="99" t="s">
        <v>69</v>
      </c>
      <c r="K136" s="99" t="b">
        <v>0</v>
      </c>
      <c r="L136" s="95">
        <v>2017</v>
      </c>
      <c r="M136" s="96">
        <v>0.0745</v>
      </c>
      <c r="N136" s="100">
        <v>41064</v>
      </c>
      <c r="O136" s="100">
        <v>41064</v>
      </c>
    </row>
    <row r="137" spans="1:15" ht="14.25">
      <c r="A137" s="97">
        <v>2012</v>
      </c>
      <c r="B137" s="98">
        <v>22012</v>
      </c>
      <c r="C137" s="98" t="s">
        <v>197</v>
      </c>
      <c r="D137" s="99">
        <v>206000</v>
      </c>
      <c r="E137" s="99">
        <v>0</v>
      </c>
      <c r="F137" s="99"/>
      <c r="G137" s="99">
        <v>47</v>
      </c>
      <c r="H137" s="99" t="s">
        <v>147</v>
      </c>
      <c r="I137" s="99" t="s">
        <v>207</v>
      </c>
      <c r="J137" s="99" t="s">
        <v>76</v>
      </c>
      <c r="K137" s="99" t="b">
        <v>0</v>
      </c>
      <c r="L137" s="95">
        <v>2017</v>
      </c>
      <c r="M137" s="96">
        <v>594</v>
      </c>
      <c r="N137" s="100">
        <v>41064</v>
      </c>
      <c r="O137" s="100">
        <v>41064</v>
      </c>
    </row>
    <row r="138" spans="1:15" ht="14.25">
      <c r="A138" s="97">
        <v>2012</v>
      </c>
      <c r="B138" s="98">
        <v>22012</v>
      </c>
      <c r="C138" s="98" t="s">
        <v>197</v>
      </c>
      <c r="D138" s="99">
        <v>206000</v>
      </c>
      <c r="E138" s="99">
        <v>0</v>
      </c>
      <c r="F138" s="99"/>
      <c r="G138" s="99">
        <v>2</v>
      </c>
      <c r="H138" s="99" t="s">
        <v>94</v>
      </c>
      <c r="I138" s="99"/>
      <c r="J138" s="99" t="s">
        <v>95</v>
      </c>
      <c r="K138" s="99" t="b">
        <v>1</v>
      </c>
      <c r="L138" s="95">
        <v>2017</v>
      </c>
      <c r="M138" s="96">
        <v>73771687</v>
      </c>
      <c r="N138" s="100">
        <v>41064</v>
      </c>
      <c r="O138" s="100">
        <v>41064</v>
      </c>
    </row>
    <row r="139" spans="1:15" ht="14.25">
      <c r="A139" s="97">
        <v>2012</v>
      </c>
      <c r="B139" s="98">
        <v>22012</v>
      </c>
      <c r="C139" s="98" t="s">
        <v>197</v>
      </c>
      <c r="D139" s="99">
        <v>206000</v>
      </c>
      <c r="E139" s="99">
        <v>0</v>
      </c>
      <c r="F139" s="99"/>
      <c r="G139" s="99">
        <v>57</v>
      </c>
      <c r="H139" s="99">
        <v>30</v>
      </c>
      <c r="I139" s="99" t="s">
        <v>200</v>
      </c>
      <c r="J139" s="99" t="s">
        <v>153</v>
      </c>
      <c r="K139" s="99" t="b">
        <v>0</v>
      </c>
      <c r="L139" s="95">
        <v>2019</v>
      </c>
      <c r="M139" s="96">
        <v>1998000</v>
      </c>
      <c r="N139" s="100">
        <v>41064</v>
      </c>
      <c r="O139" s="100">
        <v>41064</v>
      </c>
    </row>
    <row r="140" spans="1:15" ht="14.25">
      <c r="A140" s="97">
        <v>2012</v>
      </c>
      <c r="B140" s="98">
        <v>22012</v>
      </c>
      <c r="C140" s="98" t="s">
        <v>197</v>
      </c>
      <c r="D140" s="99">
        <v>206000</v>
      </c>
      <c r="E140" s="99">
        <v>0</v>
      </c>
      <c r="F140" s="99"/>
      <c r="G140" s="99">
        <v>51</v>
      </c>
      <c r="H140" s="99">
        <v>24</v>
      </c>
      <c r="I140" s="99" t="s">
        <v>201</v>
      </c>
      <c r="J140" s="99" t="s">
        <v>150</v>
      </c>
      <c r="K140" s="99" t="b">
        <v>1</v>
      </c>
      <c r="L140" s="95">
        <v>2015</v>
      </c>
      <c r="M140" s="96">
        <v>63171899</v>
      </c>
      <c r="N140" s="100">
        <v>41064</v>
      </c>
      <c r="O140" s="100">
        <v>41064</v>
      </c>
    </row>
    <row r="141" spans="1:15" ht="14.25">
      <c r="A141" s="97">
        <v>2012</v>
      </c>
      <c r="B141" s="98">
        <v>22012</v>
      </c>
      <c r="C141" s="98" t="s">
        <v>197</v>
      </c>
      <c r="D141" s="99">
        <v>206000</v>
      </c>
      <c r="E141" s="99">
        <v>0</v>
      </c>
      <c r="F141" s="99"/>
      <c r="G141" s="99">
        <v>42</v>
      </c>
      <c r="H141" s="99">
        <v>19</v>
      </c>
      <c r="I141" s="99" t="s">
        <v>218</v>
      </c>
      <c r="J141" s="99" t="s">
        <v>72</v>
      </c>
      <c r="K141" s="99" t="b">
        <v>1</v>
      </c>
      <c r="L141" s="95">
        <v>2014</v>
      </c>
      <c r="M141" s="96">
        <v>0.0481</v>
      </c>
      <c r="N141" s="100">
        <v>41064</v>
      </c>
      <c r="O141" s="100">
        <v>41064</v>
      </c>
    </row>
    <row r="142" spans="1:15" ht="14.25">
      <c r="A142" s="97">
        <v>2012</v>
      </c>
      <c r="B142" s="98">
        <v>22012</v>
      </c>
      <c r="C142" s="98" t="s">
        <v>197</v>
      </c>
      <c r="D142" s="99">
        <v>206000</v>
      </c>
      <c r="E142" s="99">
        <v>0</v>
      </c>
      <c r="F142" s="99"/>
      <c r="G142" s="99">
        <v>1</v>
      </c>
      <c r="H142" s="99">
        <v>1</v>
      </c>
      <c r="I142" s="99" t="s">
        <v>198</v>
      </c>
      <c r="J142" s="99" t="s">
        <v>93</v>
      </c>
      <c r="K142" s="99" t="b">
        <v>1</v>
      </c>
      <c r="L142" s="95">
        <v>2017</v>
      </c>
      <c r="M142" s="96">
        <v>73771687</v>
      </c>
      <c r="N142" s="100">
        <v>41064</v>
      </c>
      <c r="O142" s="100">
        <v>41064</v>
      </c>
    </row>
    <row r="143" spans="1:15" ht="14.25">
      <c r="A143" s="97">
        <v>2012</v>
      </c>
      <c r="B143" s="98">
        <v>22012</v>
      </c>
      <c r="C143" s="98" t="s">
        <v>197</v>
      </c>
      <c r="D143" s="99">
        <v>206000</v>
      </c>
      <c r="E143" s="99">
        <v>0</v>
      </c>
      <c r="F143" s="99"/>
      <c r="G143" s="99">
        <v>33</v>
      </c>
      <c r="H143" s="99">
        <v>13</v>
      </c>
      <c r="I143" s="99"/>
      <c r="J143" s="99" t="s">
        <v>66</v>
      </c>
      <c r="K143" s="99" t="b">
        <v>1</v>
      </c>
      <c r="L143" s="95">
        <v>2019</v>
      </c>
      <c r="M143" s="96">
        <v>1500000</v>
      </c>
      <c r="N143" s="100">
        <v>41064</v>
      </c>
      <c r="O143" s="100">
        <v>41064</v>
      </c>
    </row>
    <row r="144" spans="1:15" ht="14.25">
      <c r="A144" s="97">
        <v>2012</v>
      </c>
      <c r="B144" s="98">
        <v>22012</v>
      </c>
      <c r="C144" s="98" t="s">
        <v>197</v>
      </c>
      <c r="D144" s="99">
        <v>206000</v>
      </c>
      <c r="E144" s="99">
        <v>0</v>
      </c>
      <c r="F144" s="99"/>
      <c r="G144" s="99">
        <v>55</v>
      </c>
      <c r="H144" s="99">
        <v>28</v>
      </c>
      <c r="I144" s="99" t="s">
        <v>208</v>
      </c>
      <c r="J144" s="99" t="s">
        <v>48</v>
      </c>
      <c r="K144" s="99" t="b">
        <v>0</v>
      </c>
      <c r="L144" s="95">
        <v>2014</v>
      </c>
      <c r="M144" s="96">
        <v>2398000</v>
      </c>
      <c r="N144" s="100">
        <v>41064</v>
      </c>
      <c r="O144" s="100">
        <v>41064</v>
      </c>
    </row>
    <row r="145" spans="1:15" ht="14.25">
      <c r="A145" s="97">
        <v>2012</v>
      </c>
      <c r="B145" s="98">
        <v>22012</v>
      </c>
      <c r="C145" s="98" t="s">
        <v>197</v>
      </c>
      <c r="D145" s="99">
        <v>206000</v>
      </c>
      <c r="E145" s="99">
        <v>0</v>
      </c>
      <c r="F145" s="99"/>
      <c r="G145" s="99">
        <v>40</v>
      </c>
      <c r="H145" s="99">
        <v>18</v>
      </c>
      <c r="I145" s="99" t="s">
        <v>217</v>
      </c>
      <c r="J145" s="99" t="s">
        <v>69</v>
      </c>
      <c r="K145" s="99" t="b">
        <v>0</v>
      </c>
      <c r="L145" s="95">
        <v>2016</v>
      </c>
      <c r="M145" s="96">
        <v>0.0981</v>
      </c>
      <c r="N145" s="100">
        <v>41064</v>
      </c>
      <c r="O145" s="100">
        <v>41064</v>
      </c>
    </row>
    <row r="146" spans="1:15" ht="14.25">
      <c r="A146" s="97">
        <v>2012</v>
      </c>
      <c r="B146" s="98">
        <v>22012</v>
      </c>
      <c r="C146" s="98" t="s">
        <v>197</v>
      </c>
      <c r="D146" s="99">
        <v>206000</v>
      </c>
      <c r="E146" s="99">
        <v>0</v>
      </c>
      <c r="F146" s="99"/>
      <c r="G146" s="99">
        <v>37</v>
      </c>
      <c r="H146" s="99">
        <v>16</v>
      </c>
      <c r="I146" s="99"/>
      <c r="J146" s="99" t="s">
        <v>140</v>
      </c>
      <c r="K146" s="99" t="b">
        <v>1</v>
      </c>
      <c r="L146" s="95">
        <v>2016</v>
      </c>
      <c r="M146" s="96">
        <v>2798000</v>
      </c>
      <c r="N146" s="100">
        <v>41064</v>
      </c>
      <c r="O146" s="100">
        <v>41064</v>
      </c>
    </row>
    <row r="147" spans="1:15" ht="14.25">
      <c r="A147" s="97">
        <v>2012</v>
      </c>
      <c r="B147" s="98">
        <v>22012</v>
      </c>
      <c r="C147" s="98" t="s">
        <v>197</v>
      </c>
      <c r="D147" s="99">
        <v>206000</v>
      </c>
      <c r="E147" s="99">
        <v>0</v>
      </c>
      <c r="F147" s="99"/>
      <c r="G147" s="99">
        <v>27</v>
      </c>
      <c r="H147" s="99">
        <v>10</v>
      </c>
      <c r="I147" s="99"/>
      <c r="J147" s="99" t="s">
        <v>18</v>
      </c>
      <c r="K147" s="99" t="b">
        <v>0</v>
      </c>
      <c r="L147" s="95">
        <v>2019</v>
      </c>
      <c r="M147" s="96">
        <v>7852428</v>
      </c>
      <c r="N147" s="100">
        <v>41064</v>
      </c>
      <c r="O147" s="100">
        <v>41064</v>
      </c>
    </row>
    <row r="148" spans="1:15" ht="14.25">
      <c r="A148" s="97">
        <v>2012</v>
      </c>
      <c r="B148" s="98">
        <v>22012</v>
      </c>
      <c r="C148" s="98" t="s">
        <v>197</v>
      </c>
      <c r="D148" s="99">
        <v>206000</v>
      </c>
      <c r="E148" s="99">
        <v>0</v>
      </c>
      <c r="F148" s="99"/>
      <c r="G148" s="99">
        <v>14</v>
      </c>
      <c r="H148" s="99">
        <v>3</v>
      </c>
      <c r="I148" s="99" t="s">
        <v>213</v>
      </c>
      <c r="J148" s="99" t="s">
        <v>116</v>
      </c>
      <c r="K148" s="99" t="b">
        <v>1</v>
      </c>
      <c r="L148" s="95">
        <v>2013</v>
      </c>
      <c r="M148" s="96">
        <v>7485523</v>
      </c>
      <c r="N148" s="100">
        <v>41064</v>
      </c>
      <c r="O148" s="100">
        <v>41064</v>
      </c>
    </row>
    <row r="149" spans="1:15" ht="14.25">
      <c r="A149" s="97">
        <v>2012</v>
      </c>
      <c r="B149" s="98">
        <v>22012</v>
      </c>
      <c r="C149" s="98" t="s">
        <v>197</v>
      </c>
      <c r="D149" s="99">
        <v>206000</v>
      </c>
      <c r="E149" s="99">
        <v>0</v>
      </c>
      <c r="F149" s="99"/>
      <c r="G149" s="99">
        <v>54</v>
      </c>
      <c r="H149" s="99">
        <v>27</v>
      </c>
      <c r="I149" s="99" t="s">
        <v>199</v>
      </c>
      <c r="J149" s="99" t="s">
        <v>46</v>
      </c>
      <c r="K149" s="99" t="b">
        <v>0</v>
      </c>
      <c r="L149" s="95">
        <v>2017</v>
      </c>
      <c r="M149" s="96">
        <v>72273687</v>
      </c>
      <c r="N149" s="100">
        <v>41064</v>
      </c>
      <c r="O149" s="100">
        <v>41064</v>
      </c>
    </row>
    <row r="150" spans="1:15" ht="14.25">
      <c r="A150" s="97">
        <v>2012</v>
      </c>
      <c r="B150" s="98">
        <v>22012</v>
      </c>
      <c r="C150" s="98" t="s">
        <v>197</v>
      </c>
      <c r="D150" s="99">
        <v>206000</v>
      </c>
      <c r="E150" s="99">
        <v>0</v>
      </c>
      <c r="F150" s="99"/>
      <c r="G150" s="99">
        <v>24</v>
      </c>
      <c r="H150" s="99" t="s">
        <v>128</v>
      </c>
      <c r="I150" s="99"/>
      <c r="J150" s="99" t="s">
        <v>129</v>
      </c>
      <c r="K150" s="99" t="b">
        <v>1</v>
      </c>
      <c r="L150" s="95">
        <v>2020</v>
      </c>
      <c r="M150" s="96">
        <v>71000</v>
      </c>
      <c r="N150" s="100">
        <v>41064</v>
      </c>
      <c r="O150" s="100">
        <v>41064</v>
      </c>
    </row>
    <row r="151" spans="1:15" ht="14.25">
      <c r="A151" s="97">
        <v>2012</v>
      </c>
      <c r="B151" s="98">
        <v>22012</v>
      </c>
      <c r="C151" s="98" t="s">
        <v>197</v>
      </c>
      <c r="D151" s="99">
        <v>206000</v>
      </c>
      <c r="E151" s="99">
        <v>0</v>
      </c>
      <c r="F151" s="99"/>
      <c r="G151" s="99">
        <v>24</v>
      </c>
      <c r="H151" s="99" t="s">
        <v>128</v>
      </c>
      <c r="I151" s="99"/>
      <c r="J151" s="99" t="s">
        <v>129</v>
      </c>
      <c r="K151" s="99" t="b">
        <v>1</v>
      </c>
      <c r="L151" s="95">
        <v>2019</v>
      </c>
      <c r="M151" s="96">
        <v>172000</v>
      </c>
      <c r="N151" s="100">
        <v>41064</v>
      </c>
      <c r="O151" s="100">
        <v>41064</v>
      </c>
    </row>
    <row r="152" spans="1:15" ht="14.25">
      <c r="A152" s="97">
        <v>2012</v>
      </c>
      <c r="B152" s="98">
        <v>22012</v>
      </c>
      <c r="C152" s="98" t="s">
        <v>197</v>
      </c>
      <c r="D152" s="99">
        <v>206000</v>
      </c>
      <c r="E152" s="99">
        <v>0</v>
      </c>
      <c r="F152" s="99"/>
      <c r="G152" s="99">
        <v>27</v>
      </c>
      <c r="H152" s="99">
        <v>10</v>
      </c>
      <c r="I152" s="99"/>
      <c r="J152" s="99" t="s">
        <v>18</v>
      </c>
      <c r="K152" s="99" t="b">
        <v>0</v>
      </c>
      <c r="L152" s="95">
        <v>2015</v>
      </c>
      <c r="M152" s="96">
        <v>2046760</v>
      </c>
      <c r="N152" s="100">
        <v>41064</v>
      </c>
      <c r="O152" s="100">
        <v>41064</v>
      </c>
    </row>
    <row r="153" spans="1:15" ht="14.25">
      <c r="A153" s="97">
        <v>2012</v>
      </c>
      <c r="B153" s="98">
        <v>22012</v>
      </c>
      <c r="C153" s="98" t="s">
        <v>197</v>
      </c>
      <c r="D153" s="99">
        <v>206000</v>
      </c>
      <c r="E153" s="99">
        <v>0</v>
      </c>
      <c r="F153" s="99"/>
      <c r="G153" s="99">
        <v>27</v>
      </c>
      <c r="H153" s="99">
        <v>10</v>
      </c>
      <c r="I153" s="99"/>
      <c r="J153" s="99" t="s">
        <v>18</v>
      </c>
      <c r="K153" s="99" t="b">
        <v>0</v>
      </c>
      <c r="L153" s="95">
        <v>2016</v>
      </c>
      <c r="M153" s="96">
        <v>3913246</v>
      </c>
      <c r="N153" s="100">
        <v>41064</v>
      </c>
      <c r="O153" s="100">
        <v>41064</v>
      </c>
    </row>
    <row r="154" spans="1:15" ht="14.25">
      <c r="A154" s="97">
        <v>2012</v>
      </c>
      <c r="B154" s="98">
        <v>22012</v>
      </c>
      <c r="C154" s="98" t="s">
        <v>197</v>
      </c>
      <c r="D154" s="99">
        <v>206000</v>
      </c>
      <c r="E154" s="99">
        <v>0</v>
      </c>
      <c r="F154" s="99"/>
      <c r="G154" s="99">
        <v>12</v>
      </c>
      <c r="H154" s="99" t="s">
        <v>112</v>
      </c>
      <c r="I154" s="99"/>
      <c r="J154" s="99" t="s">
        <v>113</v>
      </c>
      <c r="K154" s="99" t="b">
        <v>0</v>
      </c>
      <c r="L154" s="95">
        <v>2018</v>
      </c>
      <c r="M154" s="96">
        <v>571899.02</v>
      </c>
      <c r="N154" s="100">
        <v>41064</v>
      </c>
      <c r="O154" s="100">
        <v>41064</v>
      </c>
    </row>
    <row r="155" spans="1:15" ht="14.25">
      <c r="A155" s="97">
        <v>2012</v>
      </c>
      <c r="B155" s="98">
        <v>22012</v>
      </c>
      <c r="C155" s="98" t="s">
        <v>197</v>
      </c>
      <c r="D155" s="99">
        <v>206000</v>
      </c>
      <c r="E155" s="99">
        <v>0</v>
      </c>
      <c r="F155" s="99"/>
      <c r="G155" s="99">
        <v>37</v>
      </c>
      <c r="H155" s="99">
        <v>16</v>
      </c>
      <c r="I155" s="99"/>
      <c r="J155" s="99" t="s">
        <v>140</v>
      </c>
      <c r="K155" s="99" t="b">
        <v>1</v>
      </c>
      <c r="L155" s="95">
        <v>2018</v>
      </c>
      <c r="M155" s="96">
        <v>1998000</v>
      </c>
      <c r="N155" s="100">
        <v>41064</v>
      </c>
      <c r="O155" s="100">
        <v>41064</v>
      </c>
    </row>
    <row r="156" spans="1:15" ht="14.25">
      <c r="A156" s="97">
        <v>2012</v>
      </c>
      <c r="B156" s="98">
        <v>22012</v>
      </c>
      <c r="C156" s="98" t="s">
        <v>197</v>
      </c>
      <c r="D156" s="99">
        <v>206000</v>
      </c>
      <c r="E156" s="99">
        <v>0</v>
      </c>
      <c r="F156" s="99"/>
      <c r="G156" s="99">
        <v>38</v>
      </c>
      <c r="H156" s="99">
        <v>17</v>
      </c>
      <c r="I156" s="99"/>
      <c r="J156" s="99" t="s">
        <v>91</v>
      </c>
      <c r="K156" s="99" t="b">
        <v>1</v>
      </c>
      <c r="L156" s="95">
        <v>2014</v>
      </c>
      <c r="M156" s="96">
        <v>2187692</v>
      </c>
      <c r="N156" s="100">
        <v>41064</v>
      </c>
      <c r="O156" s="100">
        <v>41064</v>
      </c>
    </row>
    <row r="157" spans="1:15" ht="14.25">
      <c r="A157" s="97">
        <v>2012</v>
      </c>
      <c r="B157" s="98">
        <v>22012</v>
      </c>
      <c r="C157" s="98" t="s">
        <v>197</v>
      </c>
      <c r="D157" s="99">
        <v>206000</v>
      </c>
      <c r="E157" s="99">
        <v>0</v>
      </c>
      <c r="F157" s="99"/>
      <c r="G157" s="99">
        <v>54</v>
      </c>
      <c r="H157" s="99">
        <v>27</v>
      </c>
      <c r="I157" s="99" t="s">
        <v>199</v>
      </c>
      <c r="J157" s="99" t="s">
        <v>46</v>
      </c>
      <c r="K157" s="99" t="b">
        <v>0</v>
      </c>
      <c r="L157" s="95">
        <v>2020</v>
      </c>
      <c r="M157" s="96">
        <v>80291988</v>
      </c>
      <c r="N157" s="100">
        <v>41064</v>
      </c>
      <c r="O157" s="100">
        <v>41064</v>
      </c>
    </row>
    <row r="158" spans="1:15" ht="14.25">
      <c r="A158" s="97">
        <v>2012</v>
      </c>
      <c r="B158" s="98">
        <v>22012</v>
      </c>
      <c r="C158" s="98" t="s">
        <v>197</v>
      </c>
      <c r="D158" s="99">
        <v>206000</v>
      </c>
      <c r="E158" s="99">
        <v>0</v>
      </c>
      <c r="F158" s="99"/>
      <c r="G158" s="99">
        <v>57</v>
      </c>
      <c r="H158" s="99">
        <v>30</v>
      </c>
      <c r="I158" s="99" t="s">
        <v>200</v>
      </c>
      <c r="J158" s="99" t="s">
        <v>153</v>
      </c>
      <c r="K158" s="99" t="b">
        <v>0</v>
      </c>
      <c r="L158" s="95">
        <v>2017</v>
      </c>
      <c r="M158" s="96">
        <v>1498000</v>
      </c>
      <c r="N158" s="100">
        <v>41064</v>
      </c>
      <c r="O158" s="100">
        <v>41064</v>
      </c>
    </row>
    <row r="159" spans="1:15" ht="14.25">
      <c r="A159" s="97">
        <v>2012</v>
      </c>
      <c r="B159" s="98">
        <v>22012</v>
      </c>
      <c r="C159" s="98" t="s">
        <v>197</v>
      </c>
      <c r="D159" s="99">
        <v>206000</v>
      </c>
      <c r="E159" s="99">
        <v>0</v>
      </c>
      <c r="F159" s="99"/>
      <c r="G159" s="99">
        <v>13</v>
      </c>
      <c r="H159" s="99" t="s">
        <v>114</v>
      </c>
      <c r="I159" s="99"/>
      <c r="J159" s="99" t="s">
        <v>115</v>
      </c>
      <c r="K159" s="99" t="b">
        <v>0</v>
      </c>
      <c r="L159" s="95">
        <v>2013</v>
      </c>
      <c r="M159" s="96">
        <v>201504</v>
      </c>
      <c r="N159" s="100">
        <v>41064</v>
      </c>
      <c r="O159" s="100">
        <v>41064</v>
      </c>
    </row>
    <row r="160" spans="1:15" ht="14.25">
      <c r="A160" s="97">
        <v>2012</v>
      </c>
      <c r="B160" s="98">
        <v>22012</v>
      </c>
      <c r="C160" s="98" t="s">
        <v>197</v>
      </c>
      <c r="D160" s="99">
        <v>206000</v>
      </c>
      <c r="E160" s="99">
        <v>0</v>
      </c>
      <c r="F160" s="99"/>
      <c r="G160" s="99">
        <v>19</v>
      </c>
      <c r="H160" s="99">
        <v>6</v>
      </c>
      <c r="I160" s="99" t="s">
        <v>210</v>
      </c>
      <c r="J160" s="99" t="s">
        <v>121</v>
      </c>
      <c r="K160" s="99" t="b">
        <v>0</v>
      </c>
      <c r="L160" s="95">
        <v>2016</v>
      </c>
      <c r="M160" s="96">
        <v>7200246</v>
      </c>
      <c r="N160" s="100">
        <v>41064</v>
      </c>
      <c r="O160" s="100">
        <v>41064</v>
      </c>
    </row>
    <row r="161" spans="1:15" ht="14.25">
      <c r="A161" s="97">
        <v>2012</v>
      </c>
      <c r="B161" s="98">
        <v>22012</v>
      </c>
      <c r="C161" s="98" t="s">
        <v>197</v>
      </c>
      <c r="D161" s="99">
        <v>206000</v>
      </c>
      <c r="E161" s="99">
        <v>0</v>
      </c>
      <c r="F161" s="99"/>
      <c r="G161" s="99">
        <v>33</v>
      </c>
      <c r="H161" s="99">
        <v>13</v>
      </c>
      <c r="I161" s="99"/>
      <c r="J161" s="99" t="s">
        <v>66</v>
      </c>
      <c r="K161" s="99" t="b">
        <v>1</v>
      </c>
      <c r="L161" s="95">
        <v>2012</v>
      </c>
      <c r="M161" s="96">
        <v>19464000</v>
      </c>
      <c r="N161" s="100">
        <v>41064</v>
      </c>
      <c r="O161" s="100">
        <v>41064</v>
      </c>
    </row>
    <row r="162" spans="1:15" ht="14.25">
      <c r="A162" s="97">
        <v>2012</v>
      </c>
      <c r="B162" s="98">
        <v>22012</v>
      </c>
      <c r="C162" s="98" t="s">
        <v>197</v>
      </c>
      <c r="D162" s="99">
        <v>206000</v>
      </c>
      <c r="E162" s="99">
        <v>0</v>
      </c>
      <c r="F162" s="99"/>
      <c r="G162" s="99">
        <v>14</v>
      </c>
      <c r="H162" s="99">
        <v>3</v>
      </c>
      <c r="I162" s="99" t="s">
        <v>213</v>
      </c>
      <c r="J162" s="99" t="s">
        <v>116</v>
      </c>
      <c r="K162" s="99" t="b">
        <v>1</v>
      </c>
      <c r="L162" s="95">
        <v>2017</v>
      </c>
      <c r="M162" s="96">
        <v>8093022</v>
      </c>
      <c r="N162" s="100">
        <v>41064</v>
      </c>
      <c r="O162" s="100">
        <v>41064</v>
      </c>
    </row>
    <row r="163" spans="1:15" ht="14.25">
      <c r="A163" s="97">
        <v>2012</v>
      </c>
      <c r="B163" s="98">
        <v>22012</v>
      </c>
      <c r="C163" s="98" t="s">
        <v>197</v>
      </c>
      <c r="D163" s="99">
        <v>206000</v>
      </c>
      <c r="E163" s="99">
        <v>0</v>
      </c>
      <c r="F163" s="99"/>
      <c r="G163" s="99">
        <v>12</v>
      </c>
      <c r="H163" s="99" t="s">
        <v>112</v>
      </c>
      <c r="I163" s="99"/>
      <c r="J163" s="99" t="s">
        <v>113</v>
      </c>
      <c r="K163" s="99" t="b">
        <v>0</v>
      </c>
      <c r="L163" s="95">
        <v>2014</v>
      </c>
      <c r="M163" s="96">
        <v>480533</v>
      </c>
      <c r="N163" s="100">
        <v>41064</v>
      </c>
      <c r="O163" s="100">
        <v>41064</v>
      </c>
    </row>
    <row r="164" spans="1:15" ht="14.25">
      <c r="A164" s="97">
        <v>2012</v>
      </c>
      <c r="B164" s="98">
        <v>22012</v>
      </c>
      <c r="C164" s="98" t="s">
        <v>197</v>
      </c>
      <c r="D164" s="99">
        <v>206000</v>
      </c>
      <c r="E164" s="99">
        <v>0</v>
      </c>
      <c r="F164" s="99"/>
      <c r="G164" s="99">
        <v>3</v>
      </c>
      <c r="H164" s="99" t="s">
        <v>96</v>
      </c>
      <c r="I164" s="99"/>
      <c r="J164" s="99" t="s">
        <v>97</v>
      </c>
      <c r="K164" s="99" t="b">
        <v>1</v>
      </c>
      <c r="L164" s="95">
        <v>2012</v>
      </c>
      <c r="M164" s="96">
        <v>383050</v>
      </c>
      <c r="N164" s="100">
        <v>41064</v>
      </c>
      <c r="O164" s="100">
        <v>41064</v>
      </c>
    </row>
    <row r="165" spans="1:15" ht="14.25">
      <c r="A165" s="97">
        <v>2012</v>
      </c>
      <c r="B165" s="98">
        <v>22012</v>
      </c>
      <c r="C165" s="98" t="s">
        <v>197</v>
      </c>
      <c r="D165" s="99">
        <v>206000</v>
      </c>
      <c r="E165" s="99">
        <v>0</v>
      </c>
      <c r="F165" s="99"/>
      <c r="G165" s="99">
        <v>1</v>
      </c>
      <c r="H165" s="99">
        <v>1</v>
      </c>
      <c r="I165" s="99" t="s">
        <v>198</v>
      </c>
      <c r="J165" s="99" t="s">
        <v>93</v>
      </c>
      <c r="K165" s="99" t="b">
        <v>1</v>
      </c>
      <c r="L165" s="95">
        <v>2016</v>
      </c>
      <c r="M165" s="96">
        <v>71276992</v>
      </c>
      <c r="N165" s="100">
        <v>41064</v>
      </c>
      <c r="O165" s="100">
        <v>41064</v>
      </c>
    </row>
    <row r="166" spans="1:15" ht="14.25">
      <c r="A166" s="97">
        <v>2012</v>
      </c>
      <c r="B166" s="98">
        <v>22012</v>
      </c>
      <c r="C166" s="98" t="s">
        <v>197</v>
      </c>
      <c r="D166" s="99">
        <v>206000</v>
      </c>
      <c r="E166" s="99">
        <v>0</v>
      </c>
      <c r="F166" s="99"/>
      <c r="G166" s="99">
        <v>51</v>
      </c>
      <c r="H166" s="99">
        <v>24</v>
      </c>
      <c r="I166" s="99" t="s">
        <v>201</v>
      </c>
      <c r="J166" s="99" t="s">
        <v>150</v>
      </c>
      <c r="K166" s="99" t="b">
        <v>1</v>
      </c>
      <c r="L166" s="95">
        <v>2017</v>
      </c>
      <c r="M166" s="96">
        <v>66062665</v>
      </c>
      <c r="N166" s="100">
        <v>41064</v>
      </c>
      <c r="O166" s="100">
        <v>41064</v>
      </c>
    </row>
    <row r="167" spans="1:15" ht="14.25">
      <c r="A167" s="97">
        <v>2012</v>
      </c>
      <c r="B167" s="98">
        <v>22012</v>
      </c>
      <c r="C167" s="98" t="s">
        <v>197</v>
      </c>
      <c r="D167" s="99">
        <v>206000</v>
      </c>
      <c r="E167" s="99">
        <v>0</v>
      </c>
      <c r="F167" s="99"/>
      <c r="G167" s="99">
        <v>48</v>
      </c>
      <c r="H167" s="99">
        <v>22</v>
      </c>
      <c r="I167" s="99" t="s">
        <v>202</v>
      </c>
      <c r="J167" s="99" t="s">
        <v>77</v>
      </c>
      <c r="K167" s="99" t="b">
        <v>0</v>
      </c>
      <c r="L167" s="95">
        <v>2014</v>
      </c>
      <c r="M167" s="96">
        <v>0.0481</v>
      </c>
      <c r="N167" s="100">
        <v>41064</v>
      </c>
      <c r="O167" s="100">
        <v>41064</v>
      </c>
    </row>
    <row r="168" spans="1:15" ht="14.25">
      <c r="A168" s="97">
        <v>2012</v>
      </c>
      <c r="B168" s="98">
        <v>22012</v>
      </c>
      <c r="C168" s="98" t="s">
        <v>197</v>
      </c>
      <c r="D168" s="99">
        <v>206000</v>
      </c>
      <c r="E168" s="99">
        <v>0</v>
      </c>
      <c r="F168" s="99"/>
      <c r="G168" s="99">
        <v>13</v>
      </c>
      <c r="H168" s="99" t="s">
        <v>114</v>
      </c>
      <c r="I168" s="99"/>
      <c r="J168" s="99" t="s">
        <v>115</v>
      </c>
      <c r="K168" s="99" t="b">
        <v>0</v>
      </c>
      <c r="L168" s="95">
        <v>2012</v>
      </c>
      <c r="M168" s="96">
        <v>450647</v>
      </c>
      <c r="N168" s="100">
        <v>41064</v>
      </c>
      <c r="O168" s="100">
        <v>41064</v>
      </c>
    </row>
    <row r="169" spans="1:15" ht="14.25">
      <c r="A169" s="97">
        <v>2012</v>
      </c>
      <c r="B169" s="98">
        <v>22012</v>
      </c>
      <c r="C169" s="98" t="s">
        <v>197</v>
      </c>
      <c r="D169" s="99">
        <v>206000</v>
      </c>
      <c r="E169" s="99">
        <v>0</v>
      </c>
      <c r="F169" s="99"/>
      <c r="G169" s="99">
        <v>50</v>
      </c>
      <c r="H169" s="99">
        <v>23</v>
      </c>
      <c r="I169" s="99" t="s">
        <v>219</v>
      </c>
      <c r="J169" s="99" t="s">
        <v>149</v>
      </c>
      <c r="K169" s="99" t="b">
        <v>1</v>
      </c>
      <c r="L169" s="95">
        <v>2015</v>
      </c>
      <c r="M169" s="96">
        <v>68866659</v>
      </c>
      <c r="N169" s="100">
        <v>41064</v>
      </c>
      <c r="O169" s="100">
        <v>41064</v>
      </c>
    </row>
    <row r="170" spans="1:15" ht="14.25">
      <c r="A170" s="97">
        <v>2012</v>
      </c>
      <c r="B170" s="98">
        <v>22012</v>
      </c>
      <c r="C170" s="98" t="s">
        <v>197</v>
      </c>
      <c r="D170" s="99">
        <v>206000</v>
      </c>
      <c r="E170" s="99">
        <v>0</v>
      </c>
      <c r="F170" s="99"/>
      <c r="G170" s="99">
        <v>37</v>
      </c>
      <c r="H170" s="99">
        <v>16</v>
      </c>
      <c r="I170" s="99"/>
      <c r="J170" s="99" t="s">
        <v>140</v>
      </c>
      <c r="K170" s="99" t="b">
        <v>1</v>
      </c>
      <c r="L170" s="95">
        <v>2012</v>
      </c>
      <c r="M170" s="96">
        <v>875866</v>
      </c>
      <c r="N170" s="100">
        <v>41064</v>
      </c>
      <c r="O170" s="100">
        <v>41064</v>
      </c>
    </row>
    <row r="171" spans="1:15" ht="14.25">
      <c r="A171" s="97">
        <v>2012</v>
      </c>
      <c r="B171" s="98">
        <v>22012</v>
      </c>
      <c r="C171" s="98" t="s">
        <v>197</v>
      </c>
      <c r="D171" s="99">
        <v>206000</v>
      </c>
      <c r="E171" s="99">
        <v>0</v>
      </c>
      <c r="F171" s="99"/>
      <c r="G171" s="99">
        <v>46</v>
      </c>
      <c r="H171" s="99">
        <v>21</v>
      </c>
      <c r="I171" s="99" t="s">
        <v>209</v>
      </c>
      <c r="J171" s="99" t="s">
        <v>54</v>
      </c>
      <c r="K171" s="99" t="b">
        <v>1</v>
      </c>
      <c r="L171" s="95">
        <v>2020</v>
      </c>
      <c r="M171" s="96">
        <v>0.0192</v>
      </c>
      <c r="N171" s="100">
        <v>41064</v>
      </c>
      <c r="O171" s="100">
        <v>41064</v>
      </c>
    </row>
    <row r="172" spans="1:15" ht="14.25">
      <c r="A172" s="97">
        <v>2012</v>
      </c>
      <c r="B172" s="98">
        <v>22012</v>
      </c>
      <c r="C172" s="98" t="s">
        <v>197</v>
      </c>
      <c r="D172" s="99">
        <v>206000</v>
      </c>
      <c r="E172" s="99">
        <v>0</v>
      </c>
      <c r="F172" s="99"/>
      <c r="G172" s="99">
        <v>2</v>
      </c>
      <c r="H172" s="99" t="s">
        <v>94</v>
      </c>
      <c r="I172" s="99"/>
      <c r="J172" s="99" t="s">
        <v>95</v>
      </c>
      <c r="K172" s="99" t="b">
        <v>1</v>
      </c>
      <c r="L172" s="95">
        <v>2014</v>
      </c>
      <c r="M172" s="96">
        <v>66537835</v>
      </c>
      <c r="N172" s="100">
        <v>41064</v>
      </c>
      <c r="O172" s="100">
        <v>41064</v>
      </c>
    </row>
    <row r="173" spans="1:15" ht="14.25">
      <c r="A173" s="97">
        <v>2012</v>
      </c>
      <c r="B173" s="98">
        <v>22012</v>
      </c>
      <c r="C173" s="98" t="s">
        <v>197</v>
      </c>
      <c r="D173" s="99">
        <v>206000</v>
      </c>
      <c r="E173" s="99">
        <v>0</v>
      </c>
      <c r="F173" s="99"/>
      <c r="G173" s="99">
        <v>5</v>
      </c>
      <c r="H173" s="99" t="s">
        <v>100</v>
      </c>
      <c r="I173" s="99"/>
      <c r="J173" s="99" t="s">
        <v>101</v>
      </c>
      <c r="K173" s="99" t="b">
        <v>1</v>
      </c>
      <c r="L173" s="95">
        <v>2012</v>
      </c>
      <c r="M173" s="96">
        <v>3000000</v>
      </c>
      <c r="N173" s="100">
        <v>41064</v>
      </c>
      <c r="O173" s="100">
        <v>41064</v>
      </c>
    </row>
    <row r="174" spans="1:15" ht="14.25">
      <c r="A174" s="97">
        <v>2012</v>
      </c>
      <c r="B174" s="98">
        <v>22012</v>
      </c>
      <c r="C174" s="98" t="s">
        <v>197</v>
      </c>
      <c r="D174" s="99">
        <v>206000</v>
      </c>
      <c r="E174" s="99">
        <v>0</v>
      </c>
      <c r="F174" s="99"/>
      <c r="G174" s="99">
        <v>57</v>
      </c>
      <c r="H174" s="99">
        <v>30</v>
      </c>
      <c r="I174" s="99" t="s">
        <v>200</v>
      </c>
      <c r="J174" s="99" t="s">
        <v>153</v>
      </c>
      <c r="K174" s="99" t="b">
        <v>0</v>
      </c>
      <c r="L174" s="95">
        <v>2014</v>
      </c>
      <c r="M174" s="96">
        <v>2398000</v>
      </c>
      <c r="N174" s="100">
        <v>41064</v>
      </c>
      <c r="O174" s="100">
        <v>41064</v>
      </c>
    </row>
    <row r="175" spans="1:15" ht="14.25">
      <c r="A175" s="97">
        <v>2012</v>
      </c>
      <c r="B175" s="98">
        <v>22012</v>
      </c>
      <c r="C175" s="98" t="s">
        <v>197</v>
      </c>
      <c r="D175" s="99">
        <v>206000</v>
      </c>
      <c r="E175" s="99">
        <v>0</v>
      </c>
      <c r="F175" s="99"/>
      <c r="G175" s="99">
        <v>42</v>
      </c>
      <c r="H175" s="99">
        <v>19</v>
      </c>
      <c r="I175" s="99" t="s">
        <v>218</v>
      </c>
      <c r="J175" s="99" t="s">
        <v>72</v>
      </c>
      <c r="K175" s="99" t="b">
        <v>1</v>
      </c>
      <c r="L175" s="95">
        <v>2016</v>
      </c>
      <c r="M175" s="96">
        <v>0.0461</v>
      </c>
      <c r="N175" s="100">
        <v>41064</v>
      </c>
      <c r="O175" s="100">
        <v>41064</v>
      </c>
    </row>
    <row r="176" spans="1:15" ht="14.25">
      <c r="A176" s="97">
        <v>2012</v>
      </c>
      <c r="B176" s="98">
        <v>22012</v>
      </c>
      <c r="C176" s="98" t="s">
        <v>197</v>
      </c>
      <c r="D176" s="99">
        <v>206000</v>
      </c>
      <c r="E176" s="99">
        <v>0</v>
      </c>
      <c r="F176" s="99"/>
      <c r="G176" s="99">
        <v>8</v>
      </c>
      <c r="H176" s="99" t="s">
        <v>104</v>
      </c>
      <c r="I176" s="99"/>
      <c r="J176" s="99" t="s">
        <v>105</v>
      </c>
      <c r="K176" s="99" t="b">
        <v>0</v>
      </c>
      <c r="L176" s="95">
        <v>2019</v>
      </c>
      <c r="M176" s="96">
        <v>34488346</v>
      </c>
      <c r="N176" s="100">
        <v>41064</v>
      </c>
      <c r="O176" s="100">
        <v>41064</v>
      </c>
    </row>
    <row r="177" spans="1:15" ht="14.25">
      <c r="A177" s="97">
        <v>2012</v>
      </c>
      <c r="B177" s="98">
        <v>22012</v>
      </c>
      <c r="C177" s="98" t="s">
        <v>197</v>
      </c>
      <c r="D177" s="99">
        <v>206000</v>
      </c>
      <c r="E177" s="99">
        <v>0</v>
      </c>
      <c r="F177" s="99"/>
      <c r="G177" s="99">
        <v>54</v>
      </c>
      <c r="H177" s="99">
        <v>27</v>
      </c>
      <c r="I177" s="99" t="s">
        <v>199</v>
      </c>
      <c r="J177" s="99" t="s">
        <v>46</v>
      </c>
      <c r="K177" s="99" t="b">
        <v>0</v>
      </c>
      <c r="L177" s="95">
        <v>2012</v>
      </c>
      <c r="M177" s="96">
        <v>69009392</v>
      </c>
      <c r="N177" s="100">
        <v>41064</v>
      </c>
      <c r="O177" s="100">
        <v>41064</v>
      </c>
    </row>
    <row r="178" spans="1:15" ht="14.25">
      <c r="A178" s="97">
        <v>2012</v>
      </c>
      <c r="B178" s="98">
        <v>22012</v>
      </c>
      <c r="C178" s="98" t="s">
        <v>197</v>
      </c>
      <c r="D178" s="99">
        <v>206000</v>
      </c>
      <c r="E178" s="99">
        <v>0</v>
      </c>
      <c r="F178" s="99"/>
      <c r="G178" s="99">
        <v>23</v>
      </c>
      <c r="H178" s="99" t="s">
        <v>126</v>
      </c>
      <c r="I178" s="99"/>
      <c r="J178" s="99" t="s">
        <v>127</v>
      </c>
      <c r="K178" s="99" t="b">
        <v>1</v>
      </c>
      <c r="L178" s="95">
        <v>2015</v>
      </c>
      <c r="M178" s="96">
        <v>658000</v>
      </c>
      <c r="N178" s="100">
        <v>41064</v>
      </c>
      <c r="O178" s="100">
        <v>41064</v>
      </c>
    </row>
    <row r="179" spans="1:15" ht="14.25">
      <c r="A179" s="97">
        <v>2012</v>
      </c>
      <c r="B179" s="98">
        <v>22012</v>
      </c>
      <c r="C179" s="98" t="s">
        <v>197</v>
      </c>
      <c r="D179" s="99">
        <v>206000</v>
      </c>
      <c r="E179" s="99">
        <v>0</v>
      </c>
      <c r="F179" s="99"/>
      <c r="G179" s="99">
        <v>24</v>
      </c>
      <c r="H179" s="99" t="s">
        <v>128</v>
      </c>
      <c r="I179" s="99"/>
      <c r="J179" s="99" t="s">
        <v>129</v>
      </c>
      <c r="K179" s="99" t="b">
        <v>1</v>
      </c>
      <c r="L179" s="95">
        <v>2012</v>
      </c>
      <c r="M179" s="96">
        <v>1550000</v>
      </c>
      <c r="N179" s="100">
        <v>41064</v>
      </c>
      <c r="O179" s="100">
        <v>41064</v>
      </c>
    </row>
    <row r="180" spans="1:15" ht="14.25">
      <c r="A180" s="97">
        <v>2012</v>
      </c>
      <c r="B180" s="98">
        <v>22012</v>
      </c>
      <c r="C180" s="98" t="s">
        <v>197</v>
      </c>
      <c r="D180" s="99">
        <v>206000</v>
      </c>
      <c r="E180" s="99">
        <v>0</v>
      </c>
      <c r="F180" s="99"/>
      <c r="G180" s="99">
        <v>50</v>
      </c>
      <c r="H180" s="99">
        <v>23</v>
      </c>
      <c r="I180" s="99" t="s">
        <v>219</v>
      </c>
      <c r="J180" s="99" t="s">
        <v>149</v>
      </c>
      <c r="K180" s="99" t="b">
        <v>1</v>
      </c>
      <c r="L180" s="95">
        <v>2016</v>
      </c>
      <c r="M180" s="96">
        <v>71276992</v>
      </c>
      <c r="N180" s="100">
        <v>41064</v>
      </c>
      <c r="O180" s="100">
        <v>41064</v>
      </c>
    </row>
    <row r="181" spans="1:15" ht="14.25">
      <c r="A181" s="97">
        <v>2012</v>
      </c>
      <c r="B181" s="98">
        <v>22012</v>
      </c>
      <c r="C181" s="98" t="s">
        <v>197</v>
      </c>
      <c r="D181" s="99">
        <v>206000</v>
      </c>
      <c r="E181" s="99">
        <v>0</v>
      </c>
      <c r="F181" s="99"/>
      <c r="G181" s="99">
        <v>50</v>
      </c>
      <c r="H181" s="99">
        <v>23</v>
      </c>
      <c r="I181" s="99" t="s">
        <v>219</v>
      </c>
      <c r="J181" s="99" t="s">
        <v>149</v>
      </c>
      <c r="K181" s="99" t="b">
        <v>1</v>
      </c>
      <c r="L181" s="95">
        <v>2012</v>
      </c>
      <c r="M181" s="96">
        <v>66365258</v>
      </c>
      <c r="N181" s="100">
        <v>41064</v>
      </c>
      <c r="O181" s="100">
        <v>41064</v>
      </c>
    </row>
    <row r="182" spans="1:15" ht="14.25">
      <c r="A182" s="97">
        <v>2012</v>
      </c>
      <c r="B182" s="98">
        <v>22012</v>
      </c>
      <c r="C182" s="98" t="s">
        <v>197</v>
      </c>
      <c r="D182" s="99">
        <v>206000</v>
      </c>
      <c r="E182" s="99">
        <v>0</v>
      </c>
      <c r="F182" s="99"/>
      <c r="G182" s="99">
        <v>43</v>
      </c>
      <c r="H182" s="99" t="s">
        <v>144</v>
      </c>
      <c r="I182" s="99" t="s">
        <v>216</v>
      </c>
      <c r="J182" s="99" t="s">
        <v>74</v>
      </c>
      <c r="K182" s="99" t="b">
        <v>0</v>
      </c>
      <c r="L182" s="95">
        <v>2018</v>
      </c>
      <c r="M182" s="96">
        <v>0.0298</v>
      </c>
      <c r="N182" s="100">
        <v>41064</v>
      </c>
      <c r="O182" s="100">
        <v>41064</v>
      </c>
    </row>
    <row r="183" spans="1:15" ht="14.25">
      <c r="A183" s="97">
        <v>2012</v>
      </c>
      <c r="B183" s="98">
        <v>22012</v>
      </c>
      <c r="C183" s="98" t="s">
        <v>197</v>
      </c>
      <c r="D183" s="99">
        <v>206000</v>
      </c>
      <c r="E183" s="99">
        <v>0</v>
      </c>
      <c r="F183" s="99"/>
      <c r="G183" s="99">
        <v>57</v>
      </c>
      <c r="H183" s="99">
        <v>30</v>
      </c>
      <c r="I183" s="99" t="s">
        <v>200</v>
      </c>
      <c r="J183" s="99" t="s">
        <v>153</v>
      </c>
      <c r="K183" s="99" t="b">
        <v>0</v>
      </c>
      <c r="L183" s="95">
        <v>2012</v>
      </c>
      <c r="M183" s="96">
        <v>3004105</v>
      </c>
      <c r="N183" s="100">
        <v>41064</v>
      </c>
      <c r="O183" s="100">
        <v>41064</v>
      </c>
    </row>
    <row r="184" spans="1:15" ht="14.25">
      <c r="A184" s="97">
        <v>2012</v>
      </c>
      <c r="B184" s="98">
        <v>22012</v>
      </c>
      <c r="C184" s="98" t="s">
        <v>197</v>
      </c>
      <c r="D184" s="99">
        <v>206000</v>
      </c>
      <c r="E184" s="99">
        <v>0</v>
      </c>
      <c r="F184" s="99"/>
      <c r="G184" s="99">
        <v>55</v>
      </c>
      <c r="H184" s="99">
        <v>28</v>
      </c>
      <c r="I184" s="99" t="s">
        <v>208</v>
      </c>
      <c r="J184" s="99" t="s">
        <v>48</v>
      </c>
      <c r="K184" s="99" t="b">
        <v>0</v>
      </c>
      <c r="L184" s="95">
        <v>2016</v>
      </c>
      <c r="M184" s="96">
        <v>2798000</v>
      </c>
      <c r="N184" s="100">
        <v>41064</v>
      </c>
      <c r="O184" s="100">
        <v>41064</v>
      </c>
    </row>
    <row r="185" spans="1:15" ht="14.25">
      <c r="A185" s="97">
        <v>2012</v>
      </c>
      <c r="B185" s="98">
        <v>22012</v>
      </c>
      <c r="C185" s="98" t="s">
        <v>197</v>
      </c>
      <c r="D185" s="99">
        <v>206000</v>
      </c>
      <c r="E185" s="99">
        <v>0</v>
      </c>
      <c r="F185" s="99"/>
      <c r="G185" s="99">
        <v>41</v>
      </c>
      <c r="H185" s="99" t="s">
        <v>143</v>
      </c>
      <c r="I185" s="99" t="s">
        <v>203</v>
      </c>
      <c r="J185" s="99" t="s">
        <v>71</v>
      </c>
      <c r="K185" s="99" t="b">
        <v>0</v>
      </c>
      <c r="L185" s="95">
        <v>2015</v>
      </c>
      <c r="M185" s="96">
        <v>0.1433</v>
      </c>
      <c r="N185" s="100">
        <v>41064</v>
      </c>
      <c r="O185" s="100">
        <v>41064</v>
      </c>
    </row>
    <row r="186" spans="1:15" ht="14.25">
      <c r="A186" s="97">
        <v>2012</v>
      </c>
      <c r="B186" s="98">
        <v>22012</v>
      </c>
      <c r="C186" s="98" t="s">
        <v>197</v>
      </c>
      <c r="D186" s="99">
        <v>206000</v>
      </c>
      <c r="E186" s="99">
        <v>0</v>
      </c>
      <c r="F186" s="99"/>
      <c r="G186" s="99">
        <v>4</v>
      </c>
      <c r="H186" s="99" t="s">
        <v>98</v>
      </c>
      <c r="I186" s="99"/>
      <c r="J186" s="99" t="s">
        <v>99</v>
      </c>
      <c r="K186" s="99" t="b">
        <v>1</v>
      </c>
      <c r="L186" s="95">
        <v>2014</v>
      </c>
      <c r="M186" s="96">
        <v>500000</v>
      </c>
      <c r="N186" s="100">
        <v>41064</v>
      </c>
      <c r="O186" s="100">
        <v>41064</v>
      </c>
    </row>
    <row r="187" spans="1:15" ht="14.25">
      <c r="A187" s="97">
        <v>2012</v>
      </c>
      <c r="B187" s="98">
        <v>22012</v>
      </c>
      <c r="C187" s="98" t="s">
        <v>197</v>
      </c>
      <c r="D187" s="99">
        <v>206000</v>
      </c>
      <c r="E187" s="99">
        <v>0</v>
      </c>
      <c r="F187" s="99"/>
      <c r="G187" s="99">
        <v>21</v>
      </c>
      <c r="H187" s="99" t="s">
        <v>122</v>
      </c>
      <c r="I187" s="99"/>
      <c r="J187" s="99" t="s">
        <v>123</v>
      </c>
      <c r="K187" s="99" t="b">
        <v>1</v>
      </c>
      <c r="L187" s="95">
        <v>2017</v>
      </c>
      <c r="M187" s="96">
        <v>1498000</v>
      </c>
      <c r="N187" s="100">
        <v>41064</v>
      </c>
      <c r="O187" s="100">
        <v>41064</v>
      </c>
    </row>
    <row r="188" spans="1:15" ht="14.25">
      <c r="A188" s="97">
        <v>2012</v>
      </c>
      <c r="B188" s="98">
        <v>22012</v>
      </c>
      <c r="C188" s="98" t="s">
        <v>197</v>
      </c>
      <c r="D188" s="99">
        <v>206000</v>
      </c>
      <c r="E188" s="99">
        <v>0</v>
      </c>
      <c r="F188" s="99"/>
      <c r="G188" s="99">
        <v>42</v>
      </c>
      <c r="H188" s="99">
        <v>19</v>
      </c>
      <c r="I188" s="99" t="s">
        <v>218</v>
      </c>
      <c r="J188" s="99" t="s">
        <v>72</v>
      </c>
      <c r="K188" s="99" t="b">
        <v>1</v>
      </c>
      <c r="L188" s="95">
        <v>2018</v>
      </c>
      <c r="M188" s="96">
        <v>0.0298</v>
      </c>
      <c r="N188" s="100">
        <v>41064</v>
      </c>
      <c r="O188" s="100">
        <v>41064</v>
      </c>
    </row>
    <row r="189" spans="1:15" ht="14.25">
      <c r="A189" s="97">
        <v>2012</v>
      </c>
      <c r="B189" s="98">
        <v>22012</v>
      </c>
      <c r="C189" s="98" t="s">
        <v>197</v>
      </c>
      <c r="D189" s="99">
        <v>206000</v>
      </c>
      <c r="E189" s="99">
        <v>0</v>
      </c>
      <c r="F189" s="99"/>
      <c r="G189" s="99">
        <v>39</v>
      </c>
      <c r="H189" s="99" t="s">
        <v>141</v>
      </c>
      <c r="I189" s="99"/>
      <c r="J189" s="99" t="s">
        <v>142</v>
      </c>
      <c r="K189" s="99" t="b">
        <v>1</v>
      </c>
      <c r="L189" s="95">
        <v>2017</v>
      </c>
      <c r="M189" s="96">
        <v>571899</v>
      </c>
      <c r="N189" s="100">
        <v>41064</v>
      </c>
      <c r="O189" s="100">
        <v>41064</v>
      </c>
    </row>
    <row r="190" spans="1:15" ht="14.25">
      <c r="A190" s="97">
        <v>2012</v>
      </c>
      <c r="B190" s="98">
        <v>22012</v>
      </c>
      <c r="C190" s="98" t="s">
        <v>197</v>
      </c>
      <c r="D190" s="99">
        <v>206000</v>
      </c>
      <c r="E190" s="99">
        <v>0</v>
      </c>
      <c r="F190" s="99"/>
      <c r="G190" s="99">
        <v>42</v>
      </c>
      <c r="H190" s="99">
        <v>19</v>
      </c>
      <c r="I190" s="99" t="s">
        <v>218</v>
      </c>
      <c r="J190" s="99" t="s">
        <v>72</v>
      </c>
      <c r="K190" s="99" t="b">
        <v>1</v>
      </c>
      <c r="L190" s="95">
        <v>2019</v>
      </c>
      <c r="M190" s="96">
        <v>0.0275</v>
      </c>
      <c r="N190" s="100">
        <v>41064</v>
      </c>
      <c r="O190" s="100">
        <v>41064</v>
      </c>
    </row>
    <row r="191" spans="1:15" ht="14.25">
      <c r="A191" s="97">
        <v>2012</v>
      </c>
      <c r="B191" s="98">
        <v>22012</v>
      </c>
      <c r="C191" s="98" t="s">
        <v>197</v>
      </c>
      <c r="D191" s="99">
        <v>206000</v>
      </c>
      <c r="E191" s="99">
        <v>0</v>
      </c>
      <c r="F191" s="99"/>
      <c r="G191" s="99">
        <v>1</v>
      </c>
      <c r="H191" s="99">
        <v>1</v>
      </c>
      <c r="I191" s="99" t="s">
        <v>198</v>
      </c>
      <c r="J191" s="99" t="s">
        <v>93</v>
      </c>
      <c r="K191" s="99" t="b">
        <v>1</v>
      </c>
      <c r="L191" s="95">
        <v>2015</v>
      </c>
      <c r="M191" s="96">
        <v>68866659</v>
      </c>
      <c r="N191" s="100">
        <v>41064</v>
      </c>
      <c r="O191" s="100">
        <v>41064</v>
      </c>
    </row>
    <row r="192" spans="1:15" ht="14.25">
      <c r="A192" s="97">
        <v>2012</v>
      </c>
      <c r="B192" s="98">
        <v>22012</v>
      </c>
      <c r="C192" s="98" t="s">
        <v>197</v>
      </c>
      <c r="D192" s="99">
        <v>206000</v>
      </c>
      <c r="E192" s="99">
        <v>0</v>
      </c>
      <c r="F192" s="99"/>
      <c r="G192" s="99">
        <v>55</v>
      </c>
      <c r="H192" s="99">
        <v>28</v>
      </c>
      <c r="I192" s="99" t="s">
        <v>208</v>
      </c>
      <c r="J192" s="99" t="s">
        <v>48</v>
      </c>
      <c r="K192" s="99" t="b">
        <v>0</v>
      </c>
      <c r="L192" s="95">
        <v>2019</v>
      </c>
      <c r="M192" s="96">
        <v>1998000</v>
      </c>
      <c r="N192" s="100">
        <v>41064</v>
      </c>
      <c r="O192" s="100">
        <v>41064</v>
      </c>
    </row>
    <row r="193" spans="1:15" ht="14.25">
      <c r="A193" s="97">
        <v>2012</v>
      </c>
      <c r="B193" s="98">
        <v>22012</v>
      </c>
      <c r="C193" s="98" t="s">
        <v>197</v>
      </c>
      <c r="D193" s="99">
        <v>206000</v>
      </c>
      <c r="E193" s="99">
        <v>0</v>
      </c>
      <c r="F193" s="99"/>
      <c r="G193" s="99">
        <v>27</v>
      </c>
      <c r="H193" s="99">
        <v>10</v>
      </c>
      <c r="I193" s="99"/>
      <c r="J193" s="99" t="s">
        <v>18</v>
      </c>
      <c r="K193" s="99" t="b">
        <v>0</v>
      </c>
      <c r="L193" s="95">
        <v>2018</v>
      </c>
      <c r="M193" s="96">
        <v>6754064</v>
      </c>
      <c r="N193" s="100">
        <v>41064</v>
      </c>
      <c r="O193" s="100">
        <v>41064</v>
      </c>
    </row>
    <row r="194" spans="1:15" ht="14.25">
      <c r="A194" s="97">
        <v>2012</v>
      </c>
      <c r="B194" s="98">
        <v>22012</v>
      </c>
      <c r="C194" s="98" t="s">
        <v>197</v>
      </c>
      <c r="D194" s="99">
        <v>206000</v>
      </c>
      <c r="E194" s="99">
        <v>0</v>
      </c>
      <c r="F194" s="99"/>
      <c r="G194" s="99">
        <v>19</v>
      </c>
      <c r="H194" s="99">
        <v>6</v>
      </c>
      <c r="I194" s="99" t="s">
        <v>210</v>
      </c>
      <c r="J194" s="99" t="s">
        <v>121</v>
      </c>
      <c r="K194" s="99" t="b">
        <v>0</v>
      </c>
      <c r="L194" s="95">
        <v>2013</v>
      </c>
      <c r="M194" s="96">
        <v>7485523</v>
      </c>
      <c r="N194" s="100">
        <v>41064</v>
      </c>
      <c r="O194" s="100">
        <v>41064</v>
      </c>
    </row>
    <row r="195" spans="1:15" ht="14.25">
      <c r="A195" s="97">
        <v>2012</v>
      </c>
      <c r="B195" s="98">
        <v>22012</v>
      </c>
      <c r="C195" s="98" t="s">
        <v>197</v>
      </c>
      <c r="D195" s="99">
        <v>206000</v>
      </c>
      <c r="E195" s="99">
        <v>0</v>
      </c>
      <c r="F195" s="99"/>
      <c r="G195" s="99">
        <v>26</v>
      </c>
      <c r="H195" s="99">
        <v>9</v>
      </c>
      <c r="I195" s="99" t="s">
        <v>205</v>
      </c>
      <c r="J195" s="99" t="s">
        <v>131</v>
      </c>
      <c r="K195" s="99" t="b">
        <v>0</v>
      </c>
      <c r="L195" s="95">
        <v>2017</v>
      </c>
      <c r="M195" s="96">
        <v>6211022</v>
      </c>
      <c r="N195" s="100">
        <v>41064</v>
      </c>
      <c r="O195" s="100">
        <v>41064</v>
      </c>
    </row>
    <row r="196" spans="1:15" ht="14.25">
      <c r="A196" s="97">
        <v>2012</v>
      </c>
      <c r="B196" s="98">
        <v>22012</v>
      </c>
      <c r="C196" s="98" t="s">
        <v>197</v>
      </c>
      <c r="D196" s="99">
        <v>206000</v>
      </c>
      <c r="E196" s="99">
        <v>0</v>
      </c>
      <c r="F196" s="99"/>
      <c r="G196" s="99">
        <v>46</v>
      </c>
      <c r="H196" s="99">
        <v>21</v>
      </c>
      <c r="I196" s="99" t="s">
        <v>209</v>
      </c>
      <c r="J196" s="99" t="s">
        <v>54</v>
      </c>
      <c r="K196" s="99" t="b">
        <v>1</v>
      </c>
      <c r="L196" s="95">
        <v>2015</v>
      </c>
      <c r="M196" s="96">
        <v>0.0625</v>
      </c>
      <c r="N196" s="100">
        <v>41064</v>
      </c>
      <c r="O196" s="100">
        <v>41064</v>
      </c>
    </row>
    <row r="197" spans="1:15" ht="14.25">
      <c r="A197" s="97">
        <v>2012</v>
      </c>
      <c r="B197" s="98">
        <v>22012</v>
      </c>
      <c r="C197" s="98" t="s">
        <v>197</v>
      </c>
      <c r="D197" s="99">
        <v>206000</v>
      </c>
      <c r="E197" s="99">
        <v>0</v>
      </c>
      <c r="F197" s="99"/>
      <c r="G197" s="99">
        <v>44</v>
      </c>
      <c r="H197" s="99">
        <v>20</v>
      </c>
      <c r="I197" s="99" t="s">
        <v>215</v>
      </c>
      <c r="J197" s="99" t="s">
        <v>145</v>
      </c>
      <c r="K197" s="99" t="b">
        <v>1</v>
      </c>
      <c r="L197" s="95">
        <v>2012</v>
      </c>
      <c r="M197" s="96">
        <v>0.0245</v>
      </c>
      <c r="N197" s="100">
        <v>41064</v>
      </c>
      <c r="O197" s="100">
        <v>41064</v>
      </c>
    </row>
    <row r="198" spans="1:15" ht="14.25">
      <c r="A198" s="97">
        <v>2012</v>
      </c>
      <c r="B198" s="98">
        <v>22012</v>
      </c>
      <c r="C198" s="98" t="s">
        <v>197</v>
      </c>
      <c r="D198" s="99">
        <v>206000</v>
      </c>
      <c r="E198" s="99">
        <v>0</v>
      </c>
      <c r="F198" s="99"/>
      <c r="G198" s="99">
        <v>52</v>
      </c>
      <c r="H198" s="99">
        <v>25</v>
      </c>
      <c r="I198" s="99" t="s">
        <v>212</v>
      </c>
      <c r="J198" s="99" t="s">
        <v>49</v>
      </c>
      <c r="K198" s="99" t="b">
        <v>1</v>
      </c>
      <c r="L198" s="95">
        <v>2019</v>
      </c>
      <c r="M198" s="96">
        <v>9850428</v>
      </c>
      <c r="N198" s="100">
        <v>41064</v>
      </c>
      <c r="O198" s="100">
        <v>41064</v>
      </c>
    </row>
    <row r="199" spans="1:15" ht="14.25">
      <c r="A199" s="97">
        <v>2012</v>
      </c>
      <c r="B199" s="98">
        <v>22012</v>
      </c>
      <c r="C199" s="98" t="s">
        <v>197</v>
      </c>
      <c r="D199" s="99">
        <v>206000</v>
      </c>
      <c r="E199" s="99">
        <v>0</v>
      </c>
      <c r="F199" s="99"/>
      <c r="G199" s="99">
        <v>23</v>
      </c>
      <c r="H199" s="99" t="s">
        <v>126</v>
      </c>
      <c r="I199" s="99"/>
      <c r="J199" s="99" t="s">
        <v>127</v>
      </c>
      <c r="K199" s="99" t="b">
        <v>1</v>
      </c>
      <c r="L199" s="95">
        <v>2014</v>
      </c>
      <c r="M199" s="96">
        <v>824500</v>
      </c>
      <c r="N199" s="100">
        <v>41064</v>
      </c>
      <c r="O199" s="100">
        <v>41064</v>
      </c>
    </row>
    <row r="200" spans="1:15" ht="14.25">
      <c r="A200" s="97">
        <v>2012</v>
      </c>
      <c r="B200" s="98">
        <v>22012</v>
      </c>
      <c r="C200" s="98" t="s">
        <v>197</v>
      </c>
      <c r="D200" s="99">
        <v>206000</v>
      </c>
      <c r="E200" s="99">
        <v>0</v>
      </c>
      <c r="F200" s="99"/>
      <c r="G200" s="99">
        <v>7</v>
      </c>
      <c r="H200" s="99">
        <v>2</v>
      </c>
      <c r="I200" s="99"/>
      <c r="J200" s="99" t="s">
        <v>3</v>
      </c>
      <c r="K200" s="99" t="b">
        <v>1</v>
      </c>
      <c r="L200" s="95">
        <v>2019</v>
      </c>
      <c r="M200" s="96">
        <v>69003647</v>
      </c>
      <c r="N200" s="100">
        <v>41064</v>
      </c>
      <c r="O200" s="100">
        <v>41064</v>
      </c>
    </row>
    <row r="201" spans="1:15" ht="14.25">
      <c r="A201" s="97">
        <v>2012</v>
      </c>
      <c r="B201" s="98">
        <v>22012</v>
      </c>
      <c r="C201" s="98" t="s">
        <v>197</v>
      </c>
      <c r="D201" s="99">
        <v>206000</v>
      </c>
      <c r="E201" s="99">
        <v>0</v>
      </c>
      <c r="F201" s="99"/>
      <c r="G201" s="99">
        <v>21</v>
      </c>
      <c r="H201" s="99" t="s">
        <v>122</v>
      </c>
      <c r="I201" s="99"/>
      <c r="J201" s="99" t="s">
        <v>123</v>
      </c>
      <c r="K201" s="99" t="b">
        <v>1</v>
      </c>
      <c r="L201" s="95">
        <v>2012</v>
      </c>
      <c r="M201" s="96">
        <v>3004105</v>
      </c>
      <c r="N201" s="100">
        <v>41064</v>
      </c>
      <c r="O201" s="100">
        <v>41064</v>
      </c>
    </row>
    <row r="202" spans="1:15" ht="14.25">
      <c r="A202" s="97">
        <v>2012</v>
      </c>
      <c r="B202" s="98">
        <v>22012</v>
      </c>
      <c r="C202" s="98" t="s">
        <v>197</v>
      </c>
      <c r="D202" s="99">
        <v>206000</v>
      </c>
      <c r="E202" s="99">
        <v>0</v>
      </c>
      <c r="F202" s="99"/>
      <c r="G202" s="99">
        <v>53</v>
      </c>
      <c r="H202" s="99">
        <v>26</v>
      </c>
      <c r="I202" s="99" t="s">
        <v>211</v>
      </c>
      <c r="J202" s="99" t="s">
        <v>151</v>
      </c>
      <c r="K202" s="99" t="b">
        <v>1</v>
      </c>
      <c r="L202" s="95">
        <v>2020</v>
      </c>
      <c r="M202" s="96">
        <v>81791988</v>
      </c>
      <c r="N202" s="100">
        <v>41064</v>
      </c>
      <c r="O202" s="100">
        <v>41064</v>
      </c>
    </row>
    <row r="203" spans="1:15" ht="14.25">
      <c r="A203" s="97">
        <v>2012</v>
      </c>
      <c r="B203" s="98">
        <v>22012</v>
      </c>
      <c r="C203" s="98" t="s">
        <v>197</v>
      </c>
      <c r="D203" s="99">
        <v>206000</v>
      </c>
      <c r="E203" s="99">
        <v>0</v>
      </c>
      <c r="F203" s="99"/>
      <c r="G203" s="99">
        <v>37</v>
      </c>
      <c r="H203" s="99">
        <v>16</v>
      </c>
      <c r="I203" s="99"/>
      <c r="J203" s="99" t="s">
        <v>140</v>
      </c>
      <c r="K203" s="99" t="b">
        <v>1</v>
      </c>
      <c r="L203" s="95">
        <v>2019</v>
      </c>
      <c r="M203" s="96">
        <v>1998000</v>
      </c>
      <c r="N203" s="100">
        <v>41064</v>
      </c>
      <c r="O203" s="100">
        <v>41064</v>
      </c>
    </row>
    <row r="204" spans="1:15" ht="14.25">
      <c r="A204" s="97">
        <v>2012</v>
      </c>
      <c r="B204" s="98">
        <v>22012</v>
      </c>
      <c r="C204" s="98" t="s">
        <v>197</v>
      </c>
      <c r="D204" s="99">
        <v>206000</v>
      </c>
      <c r="E204" s="99">
        <v>0</v>
      </c>
      <c r="F204" s="99"/>
      <c r="G204" s="99">
        <v>12</v>
      </c>
      <c r="H204" s="99" t="s">
        <v>112</v>
      </c>
      <c r="I204" s="99"/>
      <c r="J204" s="99" t="s">
        <v>113</v>
      </c>
      <c r="K204" s="99" t="b">
        <v>0</v>
      </c>
      <c r="L204" s="95">
        <v>2012</v>
      </c>
      <c r="M204" s="96">
        <v>834652</v>
      </c>
      <c r="N204" s="100">
        <v>41064</v>
      </c>
      <c r="O204" s="100">
        <v>41064</v>
      </c>
    </row>
    <row r="205" spans="1:15" ht="14.25">
      <c r="A205" s="97">
        <v>2012</v>
      </c>
      <c r="B205" s="98">
        <v>22012</v>
      </c>
      <c r="C205" s="98" t="s">
        <v>197</v>
      </c>
      <c r="D205" s="99">
        <v>206000</v>
      </c>
      <c r="E205" s="99">
        <v>0</v>
      </c>
      <c r="F205" s="99"/>
      <c r="G205" s="99">
        <v>43</v>
      </c>
      <c r="H205" s="99" t="s">
        <v>144</v>
      </c>
      <c r="I205" s="99" t="s">
        <v>216</v>
      </c>
      <c r="J205" s="99" t="s">
        <v>74</v>
      </c>
      <c r="K205" s="99" t="b">
        <v>0</v>
      </c>
      <c r="L205" s="95">
        <v>2013</v>
      </c>
      <c r="M205" s="96">
        <v>0.0609</v>
      </c>
      <c r="N205" s="100">
        <v>41064</v>
      </c>
      <c r="O205" s="100">
        <v>41064</v>
      </c>
    </row>
    <row r="206" spans="1:15" ht="14.25">
      <c r="A206" s="97">
        <v>2012</v>
      </c>
      <c r="B206" s="98">
        <v>22012</v>
      </c>
      <c r="C206" s="98" t="s">
        <v>197</v>
      </c>
      <c r="D206" s="99">
        <v>206000</v>
      </c>
      <c r="E206" s="99">
        <v>0</v>
      </c>
      <c r="F206" s="99"/>
      <c r="G206" s="99">
        <v>46</v>
      </c>
      <c r="H206" s="99">
        <v>21</v>
      </c>
      <c r="I206" s="99" t="s">
        <v>209</v>
      </c>
      <c r="J206" s="99" t="s">
        <v>54</v>
      </c>
      <c r="K206" s="99" t="b">
        <v>1</v>
      </c>
      <c r="L206" s="95">
        <v>2012</v>
      </c>
      <c r="M206" s="96">
        <v>0.0652</v>
      </c>
      <c r="N206" s="100">
        <v>41064</v>
      </c>
      <c r="O206" s="100">
        <v>41064</v>
      </c>
    </row>
    <row r="207" spans="1:15" ht="14.25">
      <c r="A207" s="97">
        <v>2012</v>
      </c>
      <c r="B207" s="98">
        <v>22012</v>
      </c>
      <c r="C207" s="98" t="s">
        <v>197</v>
      </c>
      <c r="D207" s="99">
        <v>206000</v>
      </c>
      <c r="E207" s="99">
        <v>0</v>
      </c>
      <c r="F207" s="99"/>
      <c r="G207" s="99">
        <v>8</v>
      </c>
      <c r="H207" s="99" t="s">
        <v>104</v>
      </c>
      <c r="I207" s="99"/>
      <c r="J207" s="99" t="s">
        <v>105</v>
      </c>
      <c r="K207" s="99" t="b">
        <v>0</v>
      </c>
      <c r="L207" s="95">
        <v>2016</v>
      </c>
      <c r="M207" s="96">
        <v>31561722</v>
      </c>
      <c r="N207" s="100">
        <v>41064</v>
      </c>
      <c r="O207" s="100">
        <v>41064</v>
      </c>
    </row>
    <row r="208" spans="1:15" ht="14.25">
      <c r="A208" s="97">
        <v>2012</v>
      </c>
      <c r="B208" s="98">
        <v>22012</v>
      </c>
      <c r="C208" s="98" t="s">
        <v>197</v>
      </c>
      <c r="D208" s="99">
        <v>206000</v>
      </c>
      <c r="E208" s="99">
        <v>0</v>
      </c>
      <c r="F208" s="99"/>
      <c r="G208" s="99">
        <v>44</v>
      </c>
      <c r="H208" s="99">
        <v>20</v>
      </c>
      <c r="I208" s="99" t="s">
        <v>215</v>
      </c>
      <c r="J208" s="99" t="s">
        <v>145</v>
      </c>
      <c r="K208" s="99" t="b">
        <v>1</v>
      </c>
      <c r="L208" s="95">
        <v>2016</v>
      </c>
      <c r="M208" s="96">
        <v>0.0942</v>
      </c>
      <c r="N208" s="100">
        <v>41064</v>
      </c>
      <c r="O208" s="100">
        <v>41064</v>
      </c>
    </row>
    <row r="209" spans="1:15" ht="14.25">
      <c r="A209" s="97">
        <v>2012</v>
      </c>
      <c r="B209" s="98">
        <v>22012</v>
      </c>
      <c r="C209" s="98" t="s">
        <v>197</v>
      </c>
      <c r="D209" s="99">
        <v>206000</v>
      </c>
      <c r="E209" s="99">
        <v>0</v>
      </c>
      <c r="F209" s="99"/>
      <c r="G209" s="99">
        <v>41</v>
      </c>
      <c r="H209" s="99" t="s">
        <v>143</v>
      </c>
      <c r="I209" s="99" t="s">
        <v>203</v>
      </c>
      <c r="J209" s="99" t="s">
        <v>71</v>
      </c>
      <c r="K209" s="99" t="b">
        <v>0</v>
      </c>
      <c r="L209" s="95">
        <v>2012</v>
      </c>
      <c r="M209" s="96">
        <v>0.2785</v>
      </c>
      <c r="N209" s="100">
        <v>41064</v>
      </c>
      <c r="O209" s="100">
        <v>41064</v>
      </c>
    </row>
    <row r="210" spans="1:15" ht="14.25">
      <c r="A210" s="97">
        <v>2012</v>
      </c>
      <c r="B210" s="98">
        <v>22012</v>
      </c>
      <c r="C210" s="98" t="s">
        <v>197</v>
      </c>
      <c r="D210" s="99">
        <v>206000</v>
      </c>
      <c r="E210" s="99">
        <v>0</v>
      </c>
      <c r="F210" s="99"/>
      <c r="G210" s="99">
        <v>48</v>
      </c>
      <c r="H210" s="99">
        <v>22</v>
      </c>
      <c r="I210" s="99" t="s">
        <v>202</v>
      </c>
      <c r="J210" s="99" t="s">
        <v>77</v>
      </c>
      <c r="K210" s="99" t="b">
        <v>0</v>
      </c>
      <c r="L210" s="95">
        <v>2020</v>
      </c>
      <c r="M210" s="96">
        <v>0.0192</v>
      </c>
      <c r="N210" s="100">
        <v>41064</v>
      </c>
      <c r="O210" s="100">
        <v>41064</v>
      </c>
    </row>
    <row r="211" spans="1:15" ht="14.25">
      <c r="A211" s="97">
        <v>2012</v>
      </c>
      <c r="B211" s="98">
        <v>22012</v>
      </c>
      <c r="C211" s="98" t="s">
        <v>197</v>
      </c>
      <c r="D211" s="99">
        <v>206000</v>
      </c>
      <c r="E211" s="99">
        <v>0</v>
      </c>
      <c r="F211" s="99"/>
      <c r="G211" s="99">
        <v>14</v>
      </c>
      <c r="H211" s="99">
        <v>3</v>
      </c>
      <c r="I211" s="99" t="s">
        <v>213</v>
      </c>
      <c r="J211" s="99" t="s">
        <v>116</v>
      </c>
      <c r="K211" s="99" t="b">
        <v>1</v>
      </c>
      <c r="L211" s="95">
        <v>2015</v>
      </c>
      <c r="M211" s="96">
        <v>6352760</v>
      </c>
      <c r="N211" s="100">
        <v>41064</v>
      </c>
      <c r="O211" s="100">
        <v>41064</v>
      </c>
    </row>
    <row r="212" spans="1:15" ht="14.25">
      <c r="A212" s="97">
        <v>2012</v>
      </c>
      <c r="B212" s="98">
        <v>22012</v>
      </c>
      <c r="C212" s="98" t="s">
        <v>197</v>
      </c>
      <c r="D212" s="99">
        <v>206000</v>
      </c>
      <c r="E212" s="99">
        <v>0</v>
      </c>
      <c r="F212" s="99"/>
      <c r="G212" s="99">
        <v>24</v>
      </c>
      <c r="H212" s="99" t="s">
        <v>128</v>
      </c>
      <c r="I212" s="99"/>
      <c r="J212" s="99" t="s">
        <v>129</v>
      </c>
      <c r="K212" s="99" t="b">
        <v>1</v>
      </c>
      <c r="L212" s="95">
        <v>2015</v>
      </c>
      <c r="M212" s="96">
        <v>658000</v>
      </c>
      <c r="N212" s="100">
        <v>41064</v>
      </c>
      <c r="O212" s="100">
        <v>41064</v>
      </c>
    </row>
    <row r="213" spans="1:15" ht="14.25">
      <c r="A213" s="97">
        <v>2012</v>
      </c>
      <c r="B213" s="98">
        <v>22012</v>
      </c>
      <c r="C213" s="98" t="s">
        <v>197</v>
      </c>
      <c r="D213" s="99">
        <v>206000</v>
      </c>
      <c r="E213" s="99">
        <v>0</v>
      </c>
      <c r="F213" s="99"/>
      <c r="G213" s="99">
        <v>50</v>
      </c>
      <c r="H213" s="99">
        <v>23</v>
      </c>
      <c r="I213" s="99" t="s">
        <v>219</v>
      </c>
      <c r="J213" s="99" t="s">
        <v>149</v>
      </c>
      <c r="K213" s="99" t="b">
        <v>1</v>
      </c>
      <c r="L213" s="95">
        <v>2019</v>
      </c>
      <c r="M213" s="96">
        <v>79026075</v>
      </c>
      <c r="N213" s="100">
        <v>41064</v>
      </c>
      <c r="O213" s="100">
        <v>41064</v>
      </c>
    </row>
    <row r="214" spans="1:15" ht="14.25">
      <c r="A214" s="97">
        <v>2012</v>
      </c>
      <c r="B214" s="98">
        <v>22012</v>
      </c>
      <c r="C214" s="98" t="s">
        <v>197</v>
      </c>
      <c r="D214" s="99">
        <v>206000</v>
      </c>
      <c r="E214" s="99">
        <v>0</v>
      </c>
      <c r="F214" s="99"/>
      <c r="G214" s="99">
        <v>37</v>
      </c>
      <c r="H214" s="99">
        <v>16</v>
      </c>
      <c r="I214" s="99"/>
      <c r="J214" s="99" t="s">
        <v>140</v>
      </c>
      <c r="K214" s="99" t="b">
        <v>1</v>
      </c>
      <c r="L214" s="95">
        <v>2013</v>
      </c>
      <c r="M214" s="96">
        <v>3048000</v>
      </c>
      <c r="N214" s="100">
        <v>41064</v>
      </c>
      <c r="O214" s="100">
        <v>41064</v>
      </c>
    </row>
    <row r="215" spans="1:15" ht="14.25">
      <c r="A215" s="97">
        <v>2012</v>
      </c>
      <c r="B215" s="98">
        <v>22012</v>
      </c>
      <c r="C215" s="98" t="s">
        <v>197</v>
      </c>
      <c r="D215" s="99">
        <v>206000</v>
      </c>
      <c r="E215" s="99">
        <v>0</v>
      </c>
      <c r="F215" s="99"/>
      <c r="G215" s="99">
        <v>14</v>
      </c>
      <c r="H215" s="99">
        <v>3</v>
      </c>
      <c r="I215" s="99" t="s">
        <v>213</v>
      </c>
      <c r="J215" s="99" t="s">
        <v>116</v>
      </c>
      <c r="K215" s="99" t="b">
        <v>1</v>
      </c>
      <c r="L215" s="95">
        <v>2012</v>
      </c>
      <c r="M215" s="96">
        <v>3778772</v>
      </c>
      <c r="N215" s="100">
        <v>41064</v>
      </c>
      <c r="O215" s="100">
        <v>41064</v>
      </c>
    </row>
    <row r="216" spans="1:15" ht="14.25">
      <c r="A216" s="97">
        <v>2012</v>
      </c>
      <c r="B216" s="98">
        <v>22012</v>
      </c>
      <c r="C216" s="98" t="s">
        <v>197</v>
      </c>
      <c r="D216" s="99">
        <v>206000</v>
      </c>
      <c r="E216" s="99">
        <v>0</v>
      </c>
      <c r="F216" s="99"/>
      <c r="G216" s="99">
        <v>5</v>
      </c>
      <c r="H216" s="99" t="s">
        <v>100</v>
      </c>
      <c r="I216" s="99"/>
      <c r="J216" s="99" t="s">
        <v>101</v>
      </c>
      <c r="K216" s="99" t="b">
        <v>1</v>
      </c>
      <c r="L216" s="95">
        <v>2013</v>
      </c>
      <c r="M216" s="96">
        <v>2200000</v>
      </c>
      <c r="N216" s="100">
        <v>41064</v>
      </c>
      <c r="O216" s="100">
        <v>41064</v>
      </c>
    </row>
    <row r="217" spans="1:15" ht="14.25">
      <c r="A217" s="97">
        <v>2012</v>
      </c>
      <c r="B217" s="98">
        <v>22012</v>
      </c>
      <c r="C217" s="98" t="s">
        <v>197</v>
      </c>
      <c r="D217" s="99">
        <v>206000</v>
      </c>
      <c r="E217" s="99">
        <v>0</v>
      </c>
      <c r="F217" s="99"/>
      <c r="G217" s="99">
        <v>51</v>
      </c>
      <c r="H217" s="99">
        <v>24</v>
      </c>
      <c r="I217" s="99" t="s">
        <v>201</v>
      </c>
      <c r="J217" s="99" t="s">
        <v>150</v>
      </c>
      <c r="K217" s="99" t="b">
        <v>1</v>
      </c>
      <c r="L217" s="95">
        <v>2016</v>
      </c>
      <c r="M217" s="96">
        <v>64565746</v>
      </c>
      <c r="N217" s="100">
        <v>41064</v>
      </c>
      <c r="O217" s="100">
        <v>41064</v>
      </c>
    </row>
    <row r="218" spans="1:15" ht="14.25">
      <c r="A218" s="97">
        <v>2012</v>
      </c>
      <c r="B218" s="98">
        <v>22012</v>
      </c>
      <c r="C218" s="98" t="s">
        <v>197</v>
      </c>
      <c r="D218" s="99">
        <v>206000</v>
      </c>
      <c r="E218" s="99">
        <v>0</v>
      </c>
      <c r="F218" s="99"/>
      <c r="G218" s="99">
        <v>4</v>
      </c>
      <c r="H218" s="99" t="s">
        <v>98</v>
      </c>
      <c r="I218" s="99"/>
      <c r="J218" s="99" t="s">
        <v>99</v>
      </c>
      <c r="K218" s="99" t="b">
        <v>1</v>
      </c>
      <c r="L218" s="95">
        <v>2013</v>
      </c>
      <c r="M218" s="96">
        <v>2200000</v>
      </c>
      <c r="N218" s="100">
        <v>41064</v>
      </c>
      <c r="O218" s="100">
        <v>41064</v>
      </c>
    </row>
    <row r="219" spans="1:15" ht="14.25">
      <c r="A219" s="97">
        <v>2012</v>
      </c>
      <c r="B219" s="98">
        <v>22012</v>
      </c>
      <c r="C219" s="98" t="s">
        <v>197</v>
      </c>
      <c r="D219" s="99">
        <v>206000</v>
      </c>
      <c r="E219" s="99">
        <v>0</v>
      </c>
      <c r="F219" s="99"/>
      <c r="G219" s="99">
        <v>20</v>
      </c>
      <c r="H219" s="99">
        <v>7</v>
      </c>
      <c r="I219" s="99" t="s">
        <v>214</v>
      </c>
      <c r="J219" s="99" t="s">
        <v>12</v>
      </c>
      <c r="K219" s="99" t="b">
        <v>1</v>
      </c>
      <c r="L219" s="95">
        <v>2014</v>
      </c>
      <c r="M219" s="96">
        <v>3222500</v>
      </c>
      <c r="N219" s="100">
        <v>41064</v>
      </c>
      <c r="O219" s="100">
        <v>41064</v>
      </c>
    </row>
    <row r="220" spans="1:15" ht="14.25">
      <c r="A220" s="97">
        <v>2012</v>
      </c>
      <c r="B220" s="98">
        <v>22012</v>
      </c>
      <c r="C220" s="98" t="s">
        <v>197</v>
      </c>
      <c r="D220" s="99">
        <v>206000</v>
      </c>
      <c r="E220" s="99">
        <v>0</v>
      </c>
      <c r="F220" s="99"/>
      <c r="G220" s="99">
        <v>20</v>
      </c>
      <c r="H220" s="99">
        <v>7</v>
      </c>
      <c r="I220" s="99" t="s">
        <v>214</v>
      </c>
      <c r="J220" s="99" t="s">
        <v>12</v>
      </c>
      <c r="K220" s="99" t="b">
        <v>1</v>
      </c>
      <c r="L220" s="95">
        <v>2012</v>
      </c>
      <c r="M220" s="96">
        <v>4554105</v>
      </c>
      <c r="N220" s="100">
        <v>41064</v>
      </c>
      <c r="O220" s="100">
        <v>41064</v>
      </c>
    </row>
    <row r="221" spans="1:15" ht="14.25">
      <c r="A221" s="97">
        <v>2012</v>
      </c>
      <c r="B221" s="98">
        <v>22012</v>
      </c>
      <c r="C221" s="98" t="s">
        <v>197</v>
      </c>
      <c r="D221" s="99">
        <v>206000</v>
      </c>
      <c r="E221" s="99">
        <v>0</v>
      </c>
      <c r="F221" s="99"/>
      <c r="G221" s="99">
        <v>24</v>
      </c>
      <c r="H221" s="99" t="s">
        <v>128</v>
      </c>
      <c r="I221" s="99"/>
      <c r="J221" s="99" t="s">
        <v>129</v>
      </c>
      <c r="K221" s="99" t="b">
        <v>1</v>
      </c>
      <c r="L221" s="95">
        <v>2016</v>
      </c>
      <c r="M221" s="96">
        <v>489000</v>
      </c>
      <c r="N221" s="100">
        <v>41064</v>
      </c>
      <c r="O221" s="100">
        <v>41064</v>
      </c>
    </row>
    <row r="222" spans="1:15" ht="14.25">
      <c r="A222" s="97">
        <v>2012</v>
      </c>
      <c r="B222" s="98">
        <v>22012</v>
      </c>
      <c r="C222" s="98" t="s">
        <v>197</v>
      </c>
      <c r="D222" s="99">
        <v>206000</v>
      </c>
      <c r="E222" s="99">
        <v>0</v>
      </c>
      <c r="F222" s="99"/>
      <c r="G222" s="99">
        <v>5</v>
      </c>
      <c r="H222" s="99" t="s">
        <v>100</v>
      </c>
      <c r="I222" s="99"/>
      <c r="J222" s="99" t="s">
        <v>101</v>
      </c>
      <c r="K222" s="99" t="b">
        <v>1</v>
      </c>
      <c r="L222" s="95">
        <v>2014</v>
      </c>
      <c r="M222" s="96">
        <v>500000</v>
      </c>
      <c r="N222" s="100">
        <v>41064</v>
      </c>
      <c r="O222" s="100">
        <v>41064</v>
      </c>
    </row>
    <row r="223" spans="1:15" ht="14.25">
      <c r="A223" s="97">
        <v>2012</v>
      </c>
      <c r="B223" s="98">
        <v>22012</v>
      </c>
      <c r="C223" s="98" t="s">
        <v>197</v>
      </c>
      <c r="D223" s="99">
        <v>206000</v>
      </c>
      <c r="E223" s="99">
        <v>0</v>
      </c>
      <c r="F223" s="99"/>
      <c r="G223" s="99">
        <v>33</v>
      </c>
      <c r="H223" s="99">
        <v>13</v>
      </c>
      <c r="I223" s="99"/>
      <c r="J223" s="99" t="s">
        <v>66</v>
      </c>
      <c r="K223" s="99" t="b">
        <v>1</v>
      </c>
      <c r="L223" s="95">
        <v>2013</v>
      </c>
      <c r="M223" s="96">
        <v>16240000</v>
      </c>
      <c r="N223" s="100">
        <v>41064</v>
      </c>
      <c r="O223" s="100">
        <v>41064</v>
      </c>
    </row>
    <row r="224" spans="1:15" ht="14.25">
      <c r="A224" s="97">
        <v>2012</v>
      </c>
      <c r="B224" s="98">
        <v>22012</v>
      </c>
      <c r="C224" s="98" t="s">
        <v>197</v>
      </c>
      <c r="D224" s="99">
        <v>206000</v>
      </c>
      <c r="E224" s="99">
        <v>0</v>
      </c>
      <c r="F224" s="99"/>
      <c r="G224" s="99">
        <v>46</v>
      </c>
      <c r="H224" s="99">
        <v>21</v>
      </c>
      <c r="I224" s="99" t="s">
        <v>209</v>
      </c>
      <c r="J224" s="99" t="s">
        <v>54</v>
      </c>
      <c r="K224" s="99" t="b">
        <v>1</v>
      </c>
      <c r="L224" s="95">
        <v>2018</v>
      </c>
      <c r="M224" s="96">
        <v>0.0298</v>
      </c>
      <c r="N224" s="100">
        <v>41064</v>
      </c>
      <c r="O224" s="100">
        <v>41064</v>
      </c>
    </row>
    <row r="225" spans="1:15" ht="14.25">
      <c r="A225" s="97">
        <v>2012</v>
      </c>
      <c r="B225" s="98">
        <v>22012</v>
      </c>
      <c r="C225" s="98" t="s">
        <v>197</v>
      </c>
      <c r="D225" s="99">
        <v>206000</v>
      </c>
      <c r="E225" s="99">
        <v>0</v>
      </c>
      <c r="F225" s="99"/>
      <c r="G225" s="99">
        <v>45</v>
      </c>
      <c r="H225" s="99" t="s">
        <v>146</v>
      </c>
      <c r="I225" s="99" t="s">
        <v>206</v>
      </c>
      <c r="J225" s="99" t="s">
        <v>53</v>
      </c>
      <c r="K225" s="99" t="b">
        <v>0</v>
      </c>
      <c r="L225" s="95">
        <v>2012</v>
      </c>
      <c r="M225" s="96">
        <v>0.0201</v>
      </c>
      <c r="N225" s="100">
        <v>41064</v>
      </c>
      <c r="O225" s="100">
        <v>41064</v>
      </c>
    </row>
    <row r="226" spans="1:15" ht="14.25">
      <c r="A226" s="97">
        <v>2012</v>
      </c>
      <c r="B226" s="98">
        <v>22012</v>
      </c>
      <c r="C226" s="98" t="s">
        <v>197</v>
      </c>
      <c r="D226" s="99">
        <v>206000</v>
      </c>
      <c r="E226" s="99">
        <v>0</v>
      </c>
      <c r="F226" s="99"/>
      <c r="G226" s="99">
        <v>9</v>
      </c>
      <c r="H226" s="99" t="s">
        <v>106</v>
      </c>
      <c r="I226" s="99"/>
      <c r="J226" s="99" t="s">
        <v>107</v>
      </c>
      <c r="K226" s="99" t="b">
        <v>0</v>
      </c>
      <c r="L226" s="95">
        <v>2015</v>
      </c>
      <c r="M226" s="96">
        <v>7554605</v>
      </c>
      <c r="N226" s="100">
        <v>41064</v>
      </c>
      <c r="O226" s="100">
        <v>41064</v>
      </c>
    </row>
    <row r="227" spans="1:15" ht="14.25">
      <c r="A227" s="97">
        <v>2012</v>
      </c>
      <c r="B227" s="98">
        <v>22012</v>
      </c>
      <c r="C227" s="98" t="s">
        <v>197</v>
      </c>
      <c r="D227" s="99">
        <v>206000</v>
      </c>
      <c r="E227" s="99">
        <v>0</v>
      </c>
      <c r="F227" s="99"/>
      <c r="G227" s="99">
        <v>23</v>
      </c>
      <c r="H227" s="99" t="s">
        <v>126</v>
      </c>
      <c r="I227" s="99"/>
      <c r="J227" s="99" t="s">
        <v>127</v>
      </c>
      <c r="K227" s="99" t="b">
        <v>1</v>
      </c>
      <c r="L227" s="95">
        <v>2013</v>
      </c>
      <c r="M227" s="96">
        <v>1003500</v>
      </c>
      <c r="N227" s="100">
        <v>41064</v>
      </c>
      <c r="O227" s="100">
        <v>41064</v>
      </c>
    </row>
    <row r="228" spans="1:15" ht="14.25">
      <c r="A228" s="97">
        <v>2012</v>
      </c>
      <c r="B228" s="98">
        <v>22012</v>
      </c>
      <c r="C228" s="98" t="s">
        <v>197</v>
      </c>
      <c r="D228" s="99">
        <v>206000</v>
      </c>
      <c r="E228" s="99">
        <v>0</v>
      </c>
      <c r="F228" s="99"/>
      <c r="G228" s="99">
        <v>34</v>
      </c>
      <c r="H228" s="99" t="s">
        <v>137</v>
      </c>
      <c r="I228" s="99"/>
      <c r="J228" s="99" t="s">
        <v>138</v>
      </c>
      <c r="K228" s="99" t="b">
        <v>1</v>
      </c>
      <c r="L228" s="95">
        <v>2014</v>
      </c>
      <c r="M228" s="96">
        <v>235000</v>
      </c>
      <c r="N228" s="100">
        <v>41064</v>
      </c>
      <c r="O228" s="100">
        <v>41064</v>
      </c>
    </row>
    <row r="229" spans="1:15" ht="14.25">
      <c r="A229" s="97">
        <v>2012</v>
      </c>
      <c r="B229" s="98">
        <v>22012</v>
      </c>
      <c r="C229" s="98" t="s">
        <v>197</v>
      </c>
      <c r="D229" s="99">
        <v>206000</v>
      </c>
      <c r="E229" s="99">
        <v>0</v>
      </c>
      <c r="F229" s="99"/>
      <c r="G229" s="99">
        <v>8</v>
      </c>
      <c r="H229" s="99" t="s">
        <v>104</v>
      </c>
      <c r="I229" s="99"/>
      <c r="J229" s="99" t="s">
        <v>105</v>
      </c>
      <c r="K229" s="99" t="b">
        <v>0</v>
      </c>
      <c r="L229" s="95">
        <v>2020</v>
      </c>
      <c r="M229" s="96">
        <v>35522996</v>
      </c>
      <c r="N229" s="100">
        <v>41064</v>
      </c>
      <c r="O229" s="100">
        <v>41064</v>
      </c>
    </row>
    <row r="230" spans="1:15" ht="14.25">
      <c r="A230" s="97">
        <v>2012</v>
      </c>
      <c r="B230" s="98">
        <v>22012</v>
      </c>
      <c r="C230" s="98" t="s">
        <v>197</v>
      </c>
      <c r="D230" s="99">
        <v>206000</v>
      </c>
      <c r="E230" s="99">
        <v>0</v>
      </c>
      <c r="F230" s="99"/>
      <c r="G230" s="99">
        <v>52</v>
      </c>
      <c r="H230" s="99">
        <v>25</v>
      </c>
      <c r="I230" s="99" t="s">
        <v>212</v>
      </c>
      <c r="J230" s="99" t="s">
        <v>49</v>
      </c>
      <c r="K230" s="99" t="b">
        <v>1</v>
      </c>
      <c r="L230" s="95">
        <v>2013</v>
      </c>
      <c r="M230" s="96">
        <v>4282023</v>
      </c>
      <c r="N230" s="100">
        <v>41064</v>
      </c>
      <c r="O230" s="100">
        <v>41064</v>
      </c>
    </row>
    <row r="231" spans="1:15" ht="14.25">
      <c r="A231" s="97">
        <v>2012</v>
      </c>
      <c r="B231" s="98">
        <v>22012</v>
      </c>
      <c r="C231" s="98" t="s">
        <v>197</v>
      </c>
      <c r="D231" s="99">
        <v>206000</v>
      </c>
      <c r="E231" s="99">
        <v>0</v>
      </c>
      <c r="F231" s="99"/>
      <c r="G231" s="99">
        <v>20</v>
      </c>
      <c r="H231" s="99">
        <v>7</v>
      </c>
      <c r="I231" s="99" t="s">
        <v>214</v>
      </c>
      <c r="J231" s="99" t="s">
        <v>12</v>
      </c>
      <c r="K231" s="99" t="b">
        <v>1</v>
      </c>
      <c r="L231" s="95">
        <v>2017</v>
      </c>
      <c r="M231" s="96">
        <v>1882000</v>
      </c>
      <c r="N231" s="100">
        <v>41064</v>
      </c>
      <c r="O231" s="100">
        <v>41064</v>
      </c>
    </row>
    <row r="232" spans="1:15" ht="14.25">
      <c r="A232" s="97">
        <v>2012</v>
      </c>
      <c r="B232" s="98">
        <v>22012</v>
      </c>
      <c r="C232" s="98" t="s">
        <v>197</v>
      </c>
      <c r="D232" s="99">
        <v>206000</v>
      </c>
      <c r="E232" s="99">
        <v>0</v>
      </c>
      <c r="F232" s="99"/>
      <c r="G232" s="99">
        <v>51</v>
      </c>
      <c r="H232" s="99">
        <v>24</v>
      </c>
      <c r="I232" s="99" t="s">
        <v>201</v>
      </c>
      <c r="J232" s="99" t="s">
        <v>150</v>
      </c>
      <c r="K232" s="99" t="b">
        <v>1</v>
      </c>
      <c r="L232" s="95">
        <v>2013</v>
      </c>
      <c r="M232" s="96">
        <v>60005129</v>
      </c>
      <c r="N232" s="100">
        <v>41064</v>
      </c>
      <c r="O232" s="100">
        <v>41064</v>
      </c>
    </row>
    <row r="233" spans="1:15" ht="14.25">
      <c r="A233" s="97">
        <v>2012</v>
      </c>
      <c r="B233" s="98">
        <v>22012</v>
      </c>
      <c r="C233" s="98" t="s">
        <v>197</v>
      </c>
      <c r="D233" s="99">
        <v>206000</v>
      </c>
      <c r="E233" s="99">
        <v>0</v>
      </c>
      <c r="F233" s="99"/>
      <c r="G233" s="99">
        <v>55</v>
      </c>
      <c r="H233" s="99">
        <v>28</v>
      </c>
      <c r="I233" s="99" t="s">
        <v>208</v>
      </c>
      <c r="J233" s="99" t="s">
        <v>48</v>
      </c>
      <c r="K233" s="99" t="b">
        <v>0</v>
      </c>
      <c r="L233" s="95">
        <v>2013</v>
      </c>
      <c r="M233" s="96">
        <v>3048000</v>
      </c>
      <c r="N233" s="100">
        <v>41064</v>
      </c>
      <c r="O233" s="100">
        <v>41064</v>
      </c>
    </row>
    <row r="234" spans="1:15" ht="14.25">
      <c r="A234" s="97">
        <v>2012</v>
      </c>
      <c r="B234" s="98">
        <v>22012</v>
      </c>
      <c r="C234" s="98" t="s">
        <v>197</v>
      </c>
      <c r="D234" s="99">
        <v>206000</v>
      </c>
      <c r="E234" s="99">
        <v>0</v>
      </c>
      <c r="F234" s="99"/>
      <c r="G234" s="99">
        <v>21</v>
      </c>
      <c r="H234" s="99" t="s">
        <v>122</v>
      </c>
      <c r="I234" s="99"/>
      <c r="J234" s="99" t="s">
        <v>123</v>
      </c>
      <c r="K234" s="99" t="b">
        <v>1</v>
      </c>
      <c r="L234" s="95">
        <v>2016</v>
      </c>
      <c r="M234" s="96">
        <v>2798000</v>
      </c>
      <c r="N234" s="100">
        <v>41064</v>
      </c>
      <c r="O234" s="100">
        <v>41064</v>
      </c>
    </row>
    <row r="235" spans="1:15" ht="14.25">
      <c r="A235" s="97">
        <v>2012</v>
      </c>
      <c r="B235" s="98">
        <v>22012</v>
      </c>
      <c r="C235" s="98" t="s">
        <v>197</v>
      </c>
      <c r="D235" s="99">
        <v>206000</v>
      </c>
      <c r="E235" s="99">
        <v>0</v>
      </c>
      <c r="F235" s="99"/>
      <c r="G235" s="99">
        <v>23</v>
      </c>
      <c r="H235" s="99" t="s">
        <v>126</v>
      </c>
      <c r="I235" s="99"/>
      <c r="J235" s="99" t="s">
        <v>127</v>
      </c>
      <c r="K235" s="99" t="b">
        <v>1</v>
      </c>
      <c r="L235" s="95">
        <v>2019</v>
      </c>
      <c r="M235" s="96">
        <v>172000</v>
      </c>
      <c r="N235" s="100">
        <v>41064</v>
      </c>
      <c r="O235" s="100">
        <v>41064</v>
      </c>
    </row>
    <row r="236" spans="1:15" ht="14.25">
      <c r="A236" s="97">
        <v>2012</v>
      </c>
      <c r="B236" s="98">
        <v>22012</v>
      </c>
      <c r="C236" s="98" t="s">
        <v>197</v>
      </c>
      <c r="D236" s="99">
        <v>206000</v>
      </c>
      <c r="E236" s="99">
        <v>0</v>
      </c>
      <c r="F236" s="99"/>
      <c r="G236" s="99">
        <v>2</v>
      </c>
      <c r="H236" s="99" t="s">
        <v>94</v>
      </c>
      <c r="I236" s="99"/>
      <c r="J236" s="99" t="s">
        <v>95</v>
      </c>
      <c r="K236" s="99" t="b">
        <v>1</v>
      </c>
      <c r="L236" s="95">
        <v>2016</v>
      </c>
      <c r="M236" s="96">
        <v>71276992</v>
      </c>
      <c r="N236" s="100">
        <v>41064</v>
      </c>
      <c r="O236" s="100">
        <v>41064</v>
      </c>
    </row>
    <row r="237" spans="1:15" ht="14.25">
      <c r="A237" s="97">
        <v>2012</v>
      </c>
      <c r="B237" s="98">
        <v>22012</v>
      </c>
      <c r="C237" s="98" t="s">
        <v>197</v>
      </c>
      <c r="D237" s="99">
        <v>206000</v>
      </c>
      <c r="E237" s="99">
        <v>0</v>
      </c>
      <c r="F237" s="99"/>
      <c r="G237" s="99">
        <v>50</v>
      </c>
      <c r="H237" s="99">
        <v>23</v>
      </c>
      <c r="I237" s="99" t="s">
        <v>219</v>
      </c>
      <c r="J237" s="99" t="s">
        <v>149</v>
      </c>
      <c r="K237" s="99" t="b">
        <v>1</v>
      </c>
      <c r="L237" s="95">
        <v>2017</v>
      </c>
      <c r="M237" s="96">
        <v>73771687</v>
      </c>
      <c r="N237" s="100">
        <v>41064</v>
      </c>
      <c r="O237" s="100">
        <v>41064</v>
      </c>
    </row>
    <row r="238" spans="1:15" ht="14.25">
      <c r="A238" s="97">
        <v>2012</v>
      </c>
      <c r="B238" s="98">
        <v>22012</v>
      </c>
      <c r="C238" s="98" t="s">
        <v>197</v>
      </c>
      <c r="D238" s="99">
        <v>206000</v>
      </c>
      <c r="E238" s="99">
        <v>0</v>
      </c>
      <c r="F238" s="99"/>
      <c r="G238" s="99">
        <v>21</v>
      </c>
      <c r="H238" s="99" t="s">
        <v>122</v>
      </c>
      <c r="I238" s="99"/>
      <c r="J238" s="99" t="s">
        <v>123</v>
      </c>
      <c r="K238" s="99" t="b">
        <v>1</v>
      </c>
      <c r="L238" s="95">
        <v>2019</v>
      </c>
      <c r="M238" s="96">
        <v>1998000</v>
      </c>
      <c r="N238" s="100">
        <v>41064</v>
      </c>
      <c r="O238" s="100">
        <v>41064</v>
      </c>
    </row>
    <row r="239" spans="1:15" ht="14.25">
      <c r="A239" s="97">
        <v>2012</v>
      </c>
      <c r="B239" s="98">
        <v>22012</v>
      </c>
      <c r="C239" s="98" t="s">
        <v>197</v>
      </c>
      <c r="D239" s="99">
        <v>206000</v>
      </c>
      <c r="E239" s="99">
        <v>0</v>
      </c>
      <c r="F239" s="99"/>
      <c r="G239" s="99">
        <v>2</v>
      </c>
      <c r="H239" s="99" t="s">
        <v>94</v>
      </c>
      <c r="I239" s="99"/>
      <c r="J239" s="99" t="s">
        <v>95</v>
      </c>
      <c r="K239" s="99" t="b">
        <v>1</v>
      </c>
      <c r="L239" s="95">
        <v>2020</v>
      </c>
      <c r="M239" s="96">
        <v>81791988</v>
      </c>
      <c r="N239" s="100">
        <v>41064</v>
      </c>
      <c r="O239" s="100">
        <v>41064</v>
      </c>
    </row>
    <row r="240" spans="1:15" ht="14.25">
      <c r="A240" s="97">
        <v>2012</v>
      </c>
      <c r="B240" s="98">
        <v>22012</v>
      </c>
      <c r="C240" s="98" t="s">
        <v>197</v>
      </c>
      <c r="D240" s="99">
        <v>206000</v>
      </c>
      <c r="E240" s="99">
        <v>0</v>
      </c>
      <c r="F240" s="99"/>
      <c r="G240" s="99">
        <v>49</v>
      </c>
      <c r="H240" s="99" t="s">
        <v>148</v>
      </c>
      <c r="I240" s="99" t="s">
        <v>204</v>
      </c>
      <c r="J240" s="99" t="s">
        <v>79</v>
      </c>
      <c r="K240" s="99" t="b">
        <v>0</v>
      </c>
      <c r="L240" s="95">
        <v>2020</v>
      </c>
      <c r="M240" s="96">
        <v>954</v>
      </c>
      <c r="N240" s="100">
        <v>41064</v>
      </c>
      <c r="O240" s="100">
        <v>41064</v>
      </c>
    </row>
    <row r="241" spans="1:15" ht="14.25">
      <c r="A241" s="97">
        <v>2012</v>
      </c>
      <c r="B241" s="98">
        <v>22012</v>
      </c>
      <c r="C241" s="98" t="s">
        <v>197</v>
      </c>
      <c r="D241" s="99">
        <v>206000</v>
      </c>
      <c r="E241" s="99">
        <v>0</v>
      </c>
      <c r="F241" s="99"/>
      <c r="G241" s="99">
        <v>44</v>
      </c>
      <c r="H241" s="99">
        <v>20</v>
      </c>
      <c r="I241" s="99" t="s">
        <v>215</v>
      </c>
      <c r="J241" s="99" t="s">
        <v>145</v>
      </c>
      <c r="K241" s="99" t="b">
        <v>1</v>
      </c>
      <c r="L241" s="95">
        <v>2020</v>
      </c>
      <c r="M241" s="96">
        <v>0.1344</v>
      </c>
      <c r="N241" s="100">
        <v>41064</v>
      </c>
      <c r="O241" s="100">
        <v>41064</v>
      </c>
    </row>
    <row r="242" spans="1:15" ht="14.25">
      <c r="A242" s="97">
        <v>2012</v>
      </c>
      <c r="B242" s="98">
        <v>22012</v>
      </c>
      <c r="C242" s="98" t="s">
        <v>197</v>
      </c>
      <c r="D242" s="99">
        <v>206000</v>
      </c>
      <c r="E242" s="99">
        <v>0</v>
      </c>
      <c r="F242" s="99"/>
      <c r="G242" s="99">
        <v>15</v>
      </c>
      <c r="H242" s="99">
        <v>4</v>
      </c>
      <c r="I242" s="99"/>
      <c r="J242" s="99" t="s">
        <v>220</v>
      </c>
      <c r="K242" s="99" t="b">
        <v>0</v>
      </c>
      <c r="L242" s="95">
        <v>2012</v>
      </c>
      <c r="M242" s="96">
        <v>2128239</v>
      </c>
      <c r="N242" s="100">
        <v>41064</v>
      </c>
      <c r="O242" s="100">
        <v>41064</v>
      </c>
    </row>
    <row r="243" spans="1:15" ht="14.25">
      <c r="A243" s="97">
        <v>2012</v>
      </c>
      <c r="B243" s="98">
        <v>22012</v>
      </c>
      <c r="C243" s="98" t="s">
        <v>197</v>
      </c>
      <c r="D243" s="99">
        <v>206000</v>
      </c>
      <c r="E243" s="99">
        <v>0</v>
      </c>
      <c r="F243" s="99"/>
      <c r="G243" s="99">
        <v>26</v>
      </c>
      <c r="H243" s="99">
        <v>9</v>
      </c>
      <c r="I243" s="99" t="s">
        <v>205</v>
      </c>
      <c r="J243" s="99" t="s">
        <v>131</v>
      </c>
      <c r="K243" s="99" t="b">
        <v>0</v>
      </c>
      <c r="L243" s="95">
        <v>2013</v>
      </c>
      <c r="M243" s="96">
        <v>3434023</v>
      </c>
      <c r="N243" s="100">
        <v>41064</v>
      </c>
      <c r="O243" s="100">
        <v>41064</v>
      </c>
    </row>
    <row r="244" spans="1:15" ht="14.25">
      <c r="A244" s="97">
        <v>2012</v>
      </c>
      <c r="B244" s="98">
        <v>22012</v>
      </c>
      <c r="C244" s="98" t="s">
        <v>197</v>
      </c>
      <c r="D244" s="99">
        <v>206000</v>
      </c>
      <c r="E244" s="99">
        <v>0</v>
      </c>
      <c r="F244" s="99"/>
      <c r="G244" s="99">
        <v>42</v>
      </c>
      <c r="H244" s="99">
        <v>19</v>
      </c>
      <c r="I244" s="99" t="s">
        <v>218</v>
      </c>
      <c r="J244" s="99" t="s">
        <v>72</v>
      </c>
      <c r="K244" s="99" t="b">
        <v>1</v>
      </c>
      <c r="L244" s="95">
        <v>2020</v>
      </c>
      <c r="M244" s="96">
        <v>0.0192</v>
      </c>
      <c r="N244" s="100">
        <v>41064</v>
      </c>
      <c r="O244" s="100">
        <v>41064</v>
      </c>
    </row>
    <row r="245" spans="1:15" ht="14.25">
      <c r="A245" s="97">
        <v>2012</v>
      </c>
      <c r="B245" s="98">
        <v>22012</v>
      </c>
      <c r="C245" s="98" t="s">
        <v>197</v>
      </c>
      <c r="D245" s="99">
        <v>206000</v>
      </c>
      <c r="E245" s="99">
        <v>0</v>
      </c>
      <c r="F245" s="99"/>
      <c r="G245" s="99">
        <v>7</v>
      </c>
      <c r="H245" s="99">
        <v>2</v>
      </c>
      <c r="I245" s="99"/>
      <c r="J245" s="99" t="s">
        <v>3</v>
      </c>
      <c r="K245" s="99" t="b">
        <v>1</v>
      </c>
      <c r="L245" s="95">
        <v>2017</v>
      </c>
      <c r="M245" s="96">
        <v>65678665</v>
      </c>
      <c r="N245" s="100">
        <v>41064</v>
      </c>
      <c r="O245" s="100">
        <v>41064</v>
      </c>
    </row>
    <row r="246" spans="1:15" ht="14.25">
      <c r="A246" s="97">
        <v>2012</v>
      </c>
      <c r="B246" s="98">
        <v>22012</v>
      </c>
      <c r="C246" s="98" t="s">
        <v>197</v>
      </c>
      <c r="D246" s="99">
        <v>206000</v>
      </c>
      <c r="E246" s="99">
        <v>0</v>
      </c>
      <c r="F246" s="99"/>
      <c r="G246" s="99">
        <v>42</v>
      </c>
      <c r="H246" s="99">
        <v>19</v>
      </c>
      <c r="I246" s="99" t="s">
        <v>218</v>
      </c>
      <c r="J246" s="99" t="s">
        <v>72</v>
      </c>
      <c r="K246" s="99" t="b">
        <v>1</v>
      </c>
      <c r="L246" s="95">
        <v>2017</v>
      </c>
      <c r="M246" s="96">
        <v>0.0255</v>
      </c>
      <c r="N246" s="100">
        <v>41064</v>
      </c>
      <c r="O246" s="100">
        <v>41064</v>
      </c>
    </row>
    <row r="247" spans="1:15" ht="14.25">
      <c r="A247" s="97">
        <v>2012</v>
      </c>
      <c r="B247" s="98">
        <v>22012</v>
      </c>
      <c r="C247" s="98" t="s">
        <v>197</v>
      </c>
      <c r="D247" s="99">
        <v>206000</v>
      </c>
      <c r="E247" s="99">
        <v>0</v>
      </c>
      <c r="F247" s="99"/>
      <c r="G247" s="99">
        <v>33</v>
      </c>
      <c r="H247" s="99">
        <v>13</v>
      </c>
      <c r="I247" s="99"/>
      <c r="J247" s="99" t="s">
        <v>66</v>
      </c>
      <c r="K247" s="99" t="b">
        <v>1</v>
      </c>
      <c r="L247" s="95">
        <v>2016</v>
      </c>
      <c r="M247" s="96">
        <v>6994000</v>
      </c>
      <c r="N247" s="100">
        <v>41064</v>
      </c>
      <c r="O247" s="100">
        <v>41064</v>
      </c>
    </row>
    <row r="248" spans="1:15" ht="14.25">
      <c r="A248" s="97">
        <v>2012</v>
      </c>
      <c r="B248" s="98">
        <v>22012</v>
      </c>
      <c r="C248" s="98" t="s">
        <v>197</v>
      </c>
      <c r="D248" s="99">
        <v>206000</v>
      </c>
      <c r="E248" s="99">
        <v>0</v>
      </c>
      <c r="F248" s="99"/>
      <c r="G248" s="99">
        <v>37</v>
      </c>
      <c r="H248" s="99">
        <v>16</v>
      </c>
      <c r="I248" s="99"/>
      <c r="J248" s="99" t="s">
        <v>140</v>
      </c>
      <c r="K248" s="99" t="b">
        <v>1</v>
      </c>
      <c r="L248" s="95">
        <v>2020</v>
      </c>
      <c r="M248" s="96">
        <v>1500000</v>
      </c>
      <c r="N248" s="100">
        <v>41064</v>
      </c>
      <c r="O248" s="100">
        <v>41064</v>
      </c>
    </row>
    <row r="249" spans="1:15" ht="14.25">
      <c r="A249" s="97">
        <v>2012</v>
      </c>
      <c r="B249" s="98">
        <v>22012</v>
      </c>
      <c r="C249" s="98" t="s">
        <v>197</v>
      </c>
      <c r="D249" s="99">
        <v>206000</v>
      </c>
      <c r="E249" s="99">
        <v>0</v>
      </c>
      <c r="F249" s="99"/>
      <c r="G249" s="99">
        <v>45</v>
      </c>
      <c r="H249" s="99" t="s">
        <v>146</v>
      </c>
      <c r="I249" s="99" t="s">
        <v>206</v>
      </c>
      <c r="J249" s="99" t="s">
        <v>53</v>
      </c>
      <c r="K249" s="99" t="b">
        <v>0</v>
      </c>
      <c r="L249" s="95">
        <v>2018</v>
      </c>
      <c r="M249" s="96">
        <v>0.0938</v>
      </c>
      <c r="N249" s="100">
        <v>41064</v>
      </c>
      <c r="O249" s="100">
        <v>41064</v>
      </c>
    </row>
    <row r="250" spans="1:15" ht="14.25">
      <c r="A250" s="97">
        <v>2012</v>
      </c>
      <c r="B250" s="98">
        <v>22012</v>
      </c>
      <c r="C250" s="98" t="s">
        <v>197</v>
      </c>
      <c r="D250" s="99">
        <v>206000</v>
      </c>
      <c r="E250" s="99">
        <v>0</v>
      </c>
      <c r="F250" s="99"/>
      <c r="G250" s="99">
        <v>44</v>
      </c>
      <c r="H250" s="99">
        <v>20</v>
      </c>
      <c r="I250" s="99" t="s">
        <v>215</v>
      </c>
      <c r="J250" s="99" t="s">
        <v>145</v>
      </c>
      <c r="K250" s="99" t="b">
        <v>1</v>
      </c>
      <c r="L250" s="95">
        <v>2013</v>
      </c>
      <c r="M250" s="96">
        <v>0.0975</v>
      </c>
      <c r="N250" s="100">
        <v>41064</v>
      </c>
      <c r="O250" s="100">
        <v>41064</v>
      </c>
    </row>
    <row r="251" spans="1:15" ht="14.25">
      <c r="A251" s="97">
        <v>2012</v>
      </c>
      <c r="B251" s="98">
        <v>22012</v>
      </c>
      <c r="C251" s="98" t="s">
        <v>197</v>
      </c>
      <c r="D251" s="99">
        <v>206000</v>
      </c>
      <c r="E251" s="99">
        <v>0</v>
      </c>
      <c r="F251" s="99"/>
      <c r="G251" s="99">
        <v>49</v>
      </c>
      <c r="H251" s="99" t="s">
        <v>148</v>
      </c>
      <c r="I251" s="99" t="s">
        <v>204</v>
      </c>
      <c r="J251" s="99" t="s">
        <v>79</v>
      </c>
      <c r="K251" s="99" t="b">
        <v>0</v>
      </c>
      <c r="L251" s="95">
        <v>2019</v>
      </c>
      <c r="M251" s="96">
        <v>769</v>
      </c>
      <c r="N251" s="100">
        <v>41064</v>
      </c>
      <c r="O251" s="100">
        <v>41064</v>
      </c>
    </row>
    <row r="252" spans="1:15" ht="14.25">
      <c r="A252" s="97">
        <v>2012</v>
      </c>
      <c r="B252" s="98">
        <v>22012</v>
      </c>
      <c r="C252" s="98" t="s">
        <v>197</v>
      </c>
      <c r="D252" s="99">
        <v>206000</v>
      </c>
      <c r="E252" s="99">
        <v>0</v>
      </c>
      <c r="F252" s="99"/>
      <c r="G252" s="99">
        <v>53</v>
      </c>
      <c r="H252" s="99">
        <v>26</v>
      </c>
      <c r="I252" s="99" t="s">
        <v>211</v>
      </c>
      <c r="J252" s="99" t="s">
        <v>151</v>
      </c>
      <c r="K252" s="99" t="b">
        <v>1</v>
      </c>
      <c r="L252" s="95">
        <v>2014</v>
      </c>
      <c r="M252" s="96">
        <v>67037835</v>
      </c>
      <c r="N252" s="100">
        <v>41064</v>
      </c>
      <c r="O252" s="100">
        <v>41064</v>
      </c>
    </row>
    <row r="253" spans="1:15" ht="14.25">
      <c r="A253" s="97">
        <v>2012</v>
      </c>
      <c r="B253" s="98">
        <v>22012</v>
      </c>
      <c r="C253" s="98" t="s">
        <v>197</v>
      </c>
      <c r="D253" s="99">
        <v>206000</v>
      </c>
      <c r="E253" s="99">
        <v>0</v>
      </c>
      <c r="F253" s="99"/>
      <c r="G253" s="99">
        <v>41</v>
      </c>
      <c r="H253" s="99" t="s">
        <v>143</v>
      </c>
      <c r="I253" s="99" t="s">
        <v>203</v>
      </c>
      <c r="J253" s="99" t="s">
        <v>71</v>
      </c>
      <c r="K253" s="99" t="b">
        <v>0</v>
      </c>
      <c r="L253" s="95">
        <v>2016</v>
      </c>
      <c r="M253" s="96">
        <v>0.0981</v>
      </c>
      <c r="N253" s="100">
        <v>41064</v>
      </c>
      <c r="O253" s="100">
        <v>41064</v>
      </c>
    </row>
    <row r="254" spans="1:15" ht="14.25">
      <c r="A254" s="97">
        <v>2012</v>
      </c>
      <c r="B254" s="98">
        <v>22012</v>
      </c>
      <c r="C254" s="98" t="s">
        <v>197</v>
      </c>
      <c r="D254" s="99">
        <v>206000</v>
      </c>
      <c r="E254" s="99">
        <v>0</v>
      </c>
      <c r="F254" s="99"/>
      <c r="G254" s="99">
        <v>54</v>
      </c>
      <c r="H254" s="99">
        <v>27</v>
      </c>
      <c r="I254" s="99" t="s">
        <v>199</v>
      </c>
      <c r="J254" s="99" t="s">
        <v>46</v>
      </c>
      <c r="K254" s="99" t="b">
        <v>0</v>
      </c>
      <c r="L254" s="95">
        <v>2016</v>
      </c>
      <c r="M254" s="96">
        <v>68478992</v>
      </c>
      <c r="N254" s="100">
        <v>41064</v>
      </c>
      <c r="O254" s="100">
        <v>41064</v>
      </c>
    </row>
    <row r="255" spans="1:15" ht="14.25">
      <c r="A255" s="97">
        <v>2012</v>
      </c>
      <c r="B255" s="98">
        <v>22012</v>
      </c>
      <c r="C255" s="98" t="s">
        <v>197</v>
      </c>
      <c r="D255" s="99">
        <v>206000</v>
      </c>
      <c r="E255" s="99">
        <v>0</v>
      </c>
      <c r="F255" s="99"/>
      <c r="G255" s="99">
        <v>8</v>
      </c>
      <c r="H255" s="99" t="s">
        <v>104</v>
      </c>
      <c r="I255" s="99"/>
      <c r="J255" s="99" t="s">
        <v>105</v>
      </c>
      <c r="K255" s="99" t="b">
        <v>0</v>
      </c>
      <c r="L255" s="95">
        <v>2018</v>
      </c>
      <c r="M255" s="96">
        <v>33483831</v>
      </c>
      <c r="N255" s="100">
        <v>41064</v>
      </c>
      <c r="O255" s="100">
        <v>41064</v>
      </c>
    </row>
    <row r="256" spans="1:15" ht="14.25">
      <c r="A256" s="97">
        <v>2012</v>
      </c>
      <c r="B256" s="98">
        <v>22012</v>
      </c>
      <c r="C256" s="98" t="s">
        <v>197</v>
      </c>
      <c r="D256" s="99">
        <v>206000</v>
      </c>
      <c r="E256" s="99">
        <v>0</v>
      </c>
      <c r="F256" s="99"/>
      <c r="G256" s="99">
        <v>47</v>
      </c>
      <c r="H256" s="99" t="s">
        <v>147</v>
      </c>
      <c r="I256" s="99" t="s">
        <v>207</v>
      </c>
      <c r="J256" s="99" t="s">
        <v>76</v>
      </c>
      <c r="K256" s="99" t="b">
        <v>0</v>
      </c>
      <c r="L256" s="95">
        <v>2020</v>
      </c>
      <c r="M256" s="96">
        <v>954</v>
      </c>
      <c r="N256" s="100">
        <v>41064</v>
      </c>
      <c r="O256" s="100">
        <v>41064</v>
      </c>
    </row>
    <row r="257" spans="1:15" ht="14.25">
      <c r="A257" s="97">
        <v>2012</v>
      </c>
      <c r="B257" s="98">
        <v>22012</v>
      </c>
      <c r="C257" s="98" t="s">
        <v>197</v>
      </c>
      <c r="D257" s="99">
        <v>206000</v>
      </c>
      <c r="E257" s="99">
        <v>0</v>
      </c>
      <c r="F257" s="99"/>
      <c r="G257" s="99">
        <v>2</v>
      </c>
      <c r="H257" s="99" t="s">
        <v>94</v>
      </c>
      <c r="I257" s="99"/>
      <c r="J257" s="99" t="s">
        <v>95</v>
      </c>
      <c r="K257" s="99" t="b">
        <v>1</v>
      </c>
      <c r="L257" s="95">
        <v>2015</v>
      </c>
      <c r="M257" s="96">
        <v>68866659</v>
      </c>
      <c r="N257" s="100">
        <v>41064</v>
      </c>
      <c r="O257" s="100">
        <v>41064</v>
      </c>
    </row>
    <row r="258" spans="1:15" ht="14.25">
      <c r="A258" s="97">
        <v>2012</v>
      </c>
      <c r="B258" s="98">
        <v>22012</v>
      </c>
      <c r="C258" s="98" t="s">
        <v>197</v>
      </c>
      <c r="D258" s="99">
        <v>206000</v>
      </c>
      <c r="E258" s="99">
        <v>0</v>
      </c>
      <c r="F258" s="99"/>
      <c r="G258" s="99">
        <v>1</v>
      </c>
      <c r="H258" s="99">
        <v>1</v>
      </c>
      <c r="I258" s="99" t="s">
        <v>198</v>
      </c>
      <c r="J258" s="99" t="s">
        <v>93</v>
      </c>
      <c r="K258" s="99" t="b">
        <v>1</v>
      </c>
      <c r="L258" s="95">
        <v>2018</v>
      </c>
      <c r="M258" s="96">
        <v>76353696</v>
      </c>
      <c r="N258" s="100">
        <v>41064</v>
      </c>
      <c r="O258" s="100">
        <v>41064</v>
      </c>
    </row>
    <row r="259" spans="1:15" ht="14.25">
      <c r="A259" s="97">
        <v>2012</v>
      </c>
      <c r="B259" s="98">
        <v>22012</v>
      </c>
      <c r="C259" s="98" t="s">
        <v>197</v>
      </c>
      <c r="D259" s="99">
        <v>206000</v>
      </c>
      <c r="E259" s="99">
        <v>0</v>
      </c>
      <c r="F259" s="99"/>
      <c r="G259" s="99">
        <v>41</v>
      </c>
      <c r="H259" s="99" t="s">
        <v>143</v>
      </c>
      <c r="I259" s="99" t="s">
        <v>203</v>
      </c>
      <c r="J259" s="99" t="s">
        <v>71</v>
      </c>
      <c r="K259" s="99" t="b">
        <v>0</v>
      </c>
      <c r="L259" s="95">
        <v>2017</v>
      </c>
      <c r="M259" s="96">
        <v>0.0745</v>
      </c>
      <c r="N259" s="100">
        <v>41064</v>
      </c>
      <c r="O259" s="100">
        <v>41064</v>
      </c>
    </row>
    <row r="260" spans="1:15" ht="14.25">
      <c r="A260" s="97">
        <v>2012</v>
      </c>
      <c r="B260" s="98">
        <v>22012</v>
      </c>
      <c r="C260" s="98" t="s">
        <v>197</v>
      </c>
      <c r="D260" s="99">
        <v>206000</v>
      </c>
      <c r="E260" s="99">
        <v>0</v>
      </c>
      <c r="F260" s="99"/>
      <c r="G260" s="99">
        <v>7</v>
      </c>
      <c r="H260" s="99">
        <v>2</v>
      </c>
      <c r="I260" s="99"/>
      <c r="J260" s="99" t="s">
        <v>3</v>
      </c>
      <c r="K260" s="99" t="b">
        <v>1</v>
      </c>
      <c r="L260" s="95">
        <v>2013</v>
      </c>
      <c r="M260" s="96">
        <v>59001629</v>
      </c>
      <c r="N260" s="100">
        <v>41064</v>
      </c>
      <c r="O260" s="100">
        <v>41064</v>
      </c>
    </row>
    <row r="261" spans="1:15" ht="14.25">
      <c r="A261" s="97">
        <v>2012</v>
      </c>
      <c r="B261" s="98">
        <v>22012</v>
      </c>
      <c r="C261" s="98" t="s">
        <v>197</v>
      </c>
      <c r="D261" s="99">
        <v>206000</v>
      </c>
      <c r="E261" s="99">
        <v>0</v>
      </c>
      <c r="F261" s="99"/>
      <c r="G261" s="99">
        <v>20</v>
      </c>
      <c r="H261" s="99">
        <v>7</v>
      </c>
      <c r="I261" s="99" t="s">
        <v>214</v>
      </c>
      <c r="J261" s="99" t="s">
        <v>12</v>
      </c>
      <c r="K261" s="99" t="b">
        <v>1</v>
      </c>
      <c r="L261" s="95">
        <v>2013</v>
      </c>
      <c r="M261" s="96">
        <v>4051500</v>
      </c>
      <c r="N261" s="100">
        <v>41064</v>
      </c>
      <c r="O261" s="100">
        <v>41064</v>
      </c>
    </row>
    <row r="262" spans="1:15" ht="14.25">
      <c r="A262" s="97">
        <v>2012</v>
      </c>
      <c r="B262" s="98">
        <v>22012</v>
      </c>
      <c r="C262" s="98" t="s">
        <v>197</v>
      </c>
      <c r="D262" s="99">
        <v>206000</v>
      </c>
      <c r="E262" s="99">
        <v>0</v>
      </c>
      <c r="F262" s="99"/>
      <c r="G262" s="99">
        <v>50</v>
      </c>
      <c r="H262" s="99">
        <v>23</v>
      </c>
      <c r="I262" s="99" t="s">
        <v>219</v>
      </c>
      <c r="J262" s="99" t="s">
        <v>149</v>
      </c>
      <c r="K262" s="99" t="b">
        <v>1</v>
      </c>
      <c r="L262" s="95">
        <v>2020</v>
      </c>
      <c r="M262" s="96">
        <v>81791988</v>
      </c>
      <c r="N262" s="100">
        <v>41064</v>
      </c>
      <c r="O262" s="100">
        <v>41064</v>
      </c>
    </row>
    <row r="263" spans="1:15" ht="14.25">
      <c r="A263" s="97">
        <v>2012</v>
      </c>
      <c r="B263" s="98">
        <v>22012</v>
      </c>
      <c r="C263" s="98" t="s">
        <v>197</v>
      </c>
      <c r="D263" s="99">
        <v>206000</v>
      </c>
      <c r="E263" s="99">
        <v>0</v>
      </c>
      <c r="F263" s="99"/>
      <c r="G263" s="99">
        <v>19</v>
      </c>
      <c r="H263" s="99">
        <v>6</v>
      </c>
      <c r="I263" s="99" t="s">
        <v>210</v>
      </c>
      <c r="J263" s="99" t="s">
        <v>121</v>
      </c>
      <c r="K263" s="99" t="b">
        <v>0</v>
      </c>
      <c r="L263" s="95">
        <v>2014</v>
      </c>
      <c r="M263" s="96">
        <v>6048665</v>
      </c>
      <c r="N263" s="100">
        <v>41064</v>
      </c>
      <c r="O263" s="100">
        <v>41064</v>
      </c>
    </row>
    <row r="264" spans="1:15" ht="14.25">
      <c r="A264" s="97">
        <v>2012</v>
      </c>
      <c r="B264" s="98">
        <v>22012</v>
      </c>
      <c r="C264" s="98" t="s">
        <v>197</v>
      </c>
      <c r="D264" s="99">
        <v>206000</v>
      </c>
      <c r="E264" s="99">
        <v>0</v>
      </c>
      <c r="F264" s="99"/>
      <c r="G264" s="99">
        <v>20</v>
      </c>
      <c r="H264" s="99">
        <v>7</v>
      </c>
      <c r="I264" s="99" t="s">
        <v>214</v>
      </c>
      <c r="J264" s="99" t="s">
        <v>12</v>
      </c>
      <c r="K264" s="99" t="b">
        <v>1</v>
      </c>
      <c r="L264" s="95">
        <v>2015</v>
      </c>
      <c r="M264" s="96">
        <v>4306000</v>
      </c>
      <c r="N264" s="100">
        <v>41064</v>
      </c>
      <c r="O264" s="100">
        <v>41064</v>
      </c>
    </row>
    <row r="265" spans="1:15" ht="14.25">
      <c r="A265" s="97">
        <v>2012</v>
      </c>
      <c r="B265" s="98">
        <v>22012</v>
      </c>
      <c r="C265" s="98" t="s">
        <v>197</v>
      </c>
      <c r="D265" s="99">
        <v>206000</v>
      </c>
      <c r="E265" s="99">
        <v>0</v>
      </c>
      <c r="F265" s="99"/>
      <c r="G265" s="99">
        <v>24</v>
      </c>
      <c r="H265" s="99" t="s">
        <v>128</v>
      </c>
      <c r="I265" s="99"/>
      <c r="J265" s="99" t="s">
        <v>129</v>
      </c>
      <c r="K265" s="99" t="b">
        <v>1</v>
      </c>
      <c r="L265" s="95">
        <v>2013</v>
      </c>
      <c r="M265" s="96">
        <v>1003500</v>
      </c>
      <c r="N265" s="100">
        <v>41064</v>
      </c>
      <c r="O265" s="100">
        <v>41064</v>
      </c>
    </row>
    <row r="266" spans="1:15" ht="14.25">
      <c r="A266" s="97">
        <v>2012</v>
      </c>
      <c r="B266" s="98">
        <v>22012</v>
      </c>
      <c r="C266" s="98" t="s">
        <v>197</v>
      </c>
      <c r="D266" s="99">
        <v>206000</v>
      </c>
      <c r="E266" s="99">
        <v>0</v>
      </c>
      <c r="F266" s="99"/>
      <c r="G266" s="99">
        <v>49</v>
      </c>
      <c r="H266" s="99" t="s">
        <v>148</v>
      </c>
      <c r="I266" s="99" t="s">
        <v>204</v>
      </c>
      <c r="J266" s="99" t="s">
        <v>79</v>
      </c>
      <c r="K266" s="99" t="b">
        <v>0</v>
      </c>
      <c r="L266" s="95">
        <v>2014</v>
      </c>
      <c r="M266" s="96">
        <v>10</v>
      </c>
      <c r="N266" s="100">
        <v>41064</v>
      </c>
      <c r="O266" s="100">
        <v>41064</v>
      </c>
    </row>
    <row r="267" spans="1:15" ht="14.25">
      <c r="A267" s="97">
        <v>2012</v>
      </c>
      <c r="B267" s="98">
        <v>22012</v>
      </c>
      <c r="C267" s="98" t="s">
        <v>197</v>
      </c>
      <c r="D267" s="99">
        <v>206000</v>
      </c>
      <c r="E267" s="99">
        <v>0</v>
      </c>
      <c r="F267" s="99"/>
      <c r="G267" s="99">
        <v>26</v>
      </c>
      <c r="H267" s="99">
        <v>9</v>
      </c>
      <c r="I267" s="99" t="s">
        <v>205</v>
      </c>
      <c r="J267" s="99" t="s">
        <v>131</v>
      </c>
      <c r="K267" s="99" t="b">
        <v>0</v>
      </c>
      <c r="L267" s="95">
        <v>2018</v>
      </c>
      <c r="M267" s="96">
        <v>6754064</v>
      </c>
      <c r="N267" s="100">
        <v>41064</v>
      </c>
      <c r="O267" s="100">
        <v>41064</v>
      </c>
    </row>
    <row r="268" spans="1:15" ht="14.25">
      <c r="A268" s="97">
        <v>2012</v>
      </c>
      <c r="B268" s="98">
        <v>22012</v>
      </c>
      <c r="C268" s="98" t="s">
        <v>197</v>
      </c>
      <c r="D268" s="99">
        <v>206000</v>
      </c>
      <c r="E268" s="99">
        <v>0</v>
      </c>
      <c r="F268" s="99"/>
      <c r="G268" s="99">
        <v>48</v>
      </c>
      <c r="H268" s="99">
        <v>22</v>
      </c>
      <c r="I268" s="99" t="s">
        <v>202</v>
      </c>
      <c r="J268" s="99" t="s">
        <v>77</v>
      </c>
      <c r="K268" s="99" t="b">
        <v>0</v>
      </c>
      <c r="L268" s="95">
        <v>2018</v>
      </c>
      <c r="M268" s="96">
        <v>0.0298</v>
      </c>
      <c r="N268" s="100">
        <v>41064</v>
      </c>
      <c r="O268" s="100">
        <v>41064</v>
      </c>
    </row>
    <row r="269" spans="1:15" ht="14.25">
      <c r="A269" s="97">
        <v>2012</v>
      </c>
      <c r="B269" s="98">
        <v>22012</v>
      </c>
      <c r="C269" s="98" t="s">
        <v>197</v>
      </c>
      <c r="D269" s="99">
        <v>206000</v>
      </c>
      <c r="E269" s="99">
        <v>0</v>
      </c>
      <c r="F269" s="99"/>
      <c r="G269" s="99">
        <v>23</v>
      </c>
      <c r="H269" s="99" t="s">
        <v>126</v>
      </c>
      <c r="I269" s="99"/>
      <c r="J269" s="99" t="s">
        <v>127</v>
      </c>
      <c r="K269" s="99" t="b">
        <v>1</v>
      </c>
      <c r="L269" s="95">
        <v>2018</v>
      </c>
      <c r="M269" s="96">
        <v>281000</v>
      </c>
      <c r="N269" s="100">
        <v>41064</v>
      </c>
      <c r="O269" s="100">
        <v>41064</v>
      </c>
    </row>
    <row r="270" spans="1:15" ht="14.25">
      <c r="A270" s="97">
        <v>2012</v>
      </c>
      <c r="B270" s="98">
        <v>22012</v>
      </c>
      <c r="C270" s="98" t="s">
        <v>197</v>
      </c>
      <c r="D270" s="99">
        <v>206000</v>
      </c>
      <c r="E270" s="99">
        <v>0</v>
      </c>
      <c r="F270" s="99"/>
      <c r="G270" s="99">
        <v>27</v>
      </c>
      <c r="H270" s="99">
        <v>10</v>
      </c>
      <c r="I270" s="99"/>
      <c r="J270" s="99" t="s">
        <v>18</v>
      </c>
      <c r="K270" s="99" t="b">
        <v>0</v>
      </c>
      <c r="L270" s="95">
        <v>2012</v>
      </c>
      <c r="M270" s="96">
        <v>1352906</v>
      </c>
      <c r="N270" s="100">
        <v>41064</v>
      </c>
      <c r="O270" s="100">
        <v>41064</v>
      </c>
    </row>
    <row r="271" spans="1:15" ht="14.25">
      <c r="A271" s="97">
        <v>2012</v>
      </c>
      <c r="B271" s="98">
        <v>22012</v>
      </c>
      <c r="C271" s="98" t="s">
        <v>197</v>
      </c>
      <c r="D271" s="99">
        <v>206000</v>
      </c>
      <c r="E271" s="99">
        <v>0</v>
      </c>
      <c r="F271" s="99"/>
      <c r="G271" s="99">
        <v>21</v>
      </c>
      <c r="H271" s="99" t="s">
        <v>122</v>
      </c>
      <c r="I271" s="99"/>
      <c r="J271" s="99" t="s">
        <v>123</v>
      </c>
      <c r="K271" s="99" t="b">
        <v>1</v>
      </c>
      <c r="L271" s="95">
        <v>2015</v>
      </c>
      <c r="M271" s="96">
        <v>3648000</v>
      </c>
      <c r="N271" s="100">
        <v>41064</v>
      </c>
      <c r="O271" s="100">
        <v>41064</v>
      </c>
    </row>
    <row r="272" spans="1:15" ht="14.25">
      <c r="A272" s="97">
        <v>2012</v>
      </c>
      <c r="B272" s="98">
        <v>22012</v>
      </c>
      <c r="C272" s="98" t="s">
        <v>197</v>
      </c>
      <c r="D272" s="99">
        <v>206000</v>
      </c>
      <c r="E272" s="99">
        <v>0</v>
      </c>
      <c r="F272" s="99"/>
      <c r="G272" s="99">
        <v>37</v>
      </c>
      <c r="H272" s="99">
        <v>16</v>
      </c>
      <c r="I272" s="99"/>
      <c r="J272" s="99" t="s">
        <v>140</v>
      </c>
      <c r="K272" s="99" t="b">
        <v>1</v>
      </c>
      <c r="L272" s="95">
        <v>2015</v>
      </c>
      <c r="M272" s="96">
        <v>3648000</v>
      </c>
      <c r="N272" s="100">
        <v>41064</v>
      </c>
      <c r="O272" s="100">
        <v>41064</v>
      </c>
    </row>
    <row r="273" spans="1:15" ht="14.25">
      <c r="A273" s="97">
        <v>2012</v>
      </c>
      <c r="B273" s="98">
        <v>22012</v>
      </c>
      <c r="C273" s="98" t="s">
        <v>197</v>
      </c>
      <c r="D273" s="99">
        <v>206000</v>
      </c>
      <c r="E273" s="99">
        <v>0</v>
      </c>
      <c r="F273" s="99"/>
      <c r="G273" s="99">
        <v>1</v>
      </c>
      <c r="H273" s="99">
        <v>1</v>
      </c>
      <c r="I273" s="99" t="s">
        <v>198</v>
      </c>
      <c r="J273" s="99" t="s">
        <v>93</v>
      </c>
      <c r="K273" s="99" t="b">
        <v>1</v>
      </c>
      <c r="L273" s="95">
        <v>2019</v>
      </c>
      <c r="M273" s="96">
        <v>79026075</v>
      </c>
      <c r="N273" s="100">
        <v>41064</v>
      </c>
      <c r="O273" s="100">
        <v>41064</v>
      </c>
    </row>
    <row r="274" spans="1:15" ht="14.25">
      <c r="A274" s="97">
        <v>2012</v>
      </c>
      <c r="B274" s="98">
        <v>22012</v>
      </c>
      <c r="C274" s="98" t="s">
        <v>197</v>
      </c>
      <c r="D274" s="99">
        <v>206000</v>
      </c>
      <c r="E274" s="99">
        <v>0</v>
      </c>
      <c r="F274" s="99"/>
      <c r="G274" s="99">
        <v>2</v>
      </c>
      <c r="H274" s="99" t="s">
        <v>94</v>
      </c>
      <c r="I274" s="99"/>
      <c r="J274" s="99" t="s">
        <v>95</v>
      </c>
      <c r="K274" s="99" t="b">
        <v>1</v>
      </c>
      <c r="L274" s="95">
        <v>2019</v>
      </c>
      <c r="M274" s="96">
        <v>79026075</v>
      </c>
      <c r="N274" s="100">
        <v>41064</v>
      </c>
      <c r="O274" s="100">
        <v>41064</v>
      </c>
    </row>
    <row r="275" spans="1:15" ht="14.25">
      <c r="A275" s="97">
        <v>2012</v>
      </c>
      <c r="B275" s="98">
        <v>22012</v>
      </c>
      <c r="C275" s="98" t="s">
        <v>197</v>
      </c>
      <c r="D275" s="99">
        <v>206000</v>
      </c>
      <c r="E275" s="99">
        <v>0</v>
      </c>
      <c r="F275" s="99"/>
      <c r="G275" s="99">
        <v>27</v>
      </c>
      <c r="H275" s="99">
        <v>10</v>
      </c>
      <c r="I275" s="99"/>
      <c r="J275" s="99" t="s">
        <v>18</v>
      </c>
      <c r="K275" s="99" t="b">
        <v>0</v>
      </c>
      <c r="L275" s="95">
        <v>2017</v>
      </c>
      <c r="M275" s="96">
        <v>6211022</v>
      </c>
      <c r="N275" s="100">
        <v>41064</v>
      </c>
      <c r="O275" s="100">
        <v>41064</v>
      </c>
    </row>
    <row r="276" spans="1:15" ht="14.25">
      <c r="A276" s="97">
        <v>2012</v>
      </c>
      <c r="B276" s="98">
        <v>22012</v>
      </c>
      <c r="C276" s="98" t="s">
        <v>197</v>
      </c>
      <c r="D276" s="99">
        <v>206000</v>
      </c>
      <c r="E276" s="99">
        <v>0</v>
      </c>
      <c r="F276" s="99"/>
      <c r="G276" s="99">
        <v>2</v>
      </c>
      <c r="H276" s="99" t="s">
        <v>94</v>
      </c>
      <c r="I276" s="99"/>
      <c r="J276" s="99" t="s">
        <v>95</v>
      </c>
      <c r="K276" s="99" t="b">
        <v>1</v>
      </c>
      <c r="L276" s="95">
        <v>2018</v>
      </c>
      <c r="M276" s="96">
        <v>76353696</v>
      </c>
      <c r="N276" s="100">
        <v>41064</v>
      </c>
      <c r="O276" s="100">
        <v>41064</v>
      </c>
    </row>
    <row r="277" spans="1:15" ht="14.25">
      <c r="A277" s="97">
        <v>2012</v>
      </c>
      <c r="B277" s="98">
        <v>22012</v>
      </c>
      <c r="C277" s="98" t="s">
        <v>197</v>
      </c>
      <c r="D277" s="99">
        <v>206000</v>
      </c>
      <c r="E277" s="99">
        <v>0</v>
      </c>
      <c r="F277" s="99"/>
      <c r="G277" s="99">
        <v>33</v>
      </c>
      <c r="H277" s="99">
        <v>13</v>
      </c>
      <c r="I277" s="99"/>
      <c r="J277" s="99" t="s">
        <v>66</v>
      </c>
      <c r="K277" s="99" t="b">
        <v>1</v>
      </c>
      <c r="L277" s="95">
        <v>2018</v>
      </c>
      <c r="M277" s="96">
        <v>3498000</v>
      </c>
      <c r="N277" s="100">
        <v>41064</v>
      </c>
      <c r="O277" s="100">
        <v>41064</v>
      </c>
    </row>
    <row r="278" spans="1:15" ht="14.25">
      <c r="A278" s="97">
        <v>2012</v>
      </c>
      <c r="B278" s="98">
        <v>22012</v>
      </c>
      <c r="C278" s="98" t="s">
        <v>197</v>
      </c>
      <c r="D278" s="99">
        <v>206000</v>
      </c>
      <c r="E278" s="99">
        <v>0</v>
      </c>
      <c r="F278" s="99"/>
      <c r="G278" s="99">
        <v>20</v>
      </c>
      <c r="H278" s="99">
        <v>7</v>
      </c>
      <c r="I278" s="99" t="s">
        <v>214</v>
      </c>
      <c r="J278" s="99" t="s">
        <v>12</v>
      </c>
      <c r="K278" s="99" t="b">
        <v>1</v>
      </c>
      <c r="L278" s="95">
        <v>2019</v>
      </c>
      <c r="M278" s="96">
        <v>2170000</v>
      </c>
      <c r="N278" s="100">
        <v>41064</v>
      </c>
      <c r="O278" s="100">
        <v>41064</v>
      </c>
    </row>
    <row r="279" spans="1:15" ht="14.25">
      <c r="A279" s="97">
        <v>2012</v>
      </c>
      <c r="B279" s="98">
        <v>22012</v>
      </c>
      <c r="C279" s="98" t="s">
        <v>197</v>
      </c>
      <c r="D279" s="99">
        <v>206000</v>
      </c>
      <c r="E279" s="99">
        <v>0</v>
      </c>
      <c r="F279" s="99"/>
      <c r="G279" s="99">
        <v>50</v>
      </c>
      <c r="H279" s="99">
        <v>23</v>
      </c>
      <c r="I279" s="99" t="s">
        <v>219</v>
      </c>
      <c r="J279" s="99" t="s">
        <v>149</v>
      </c>
      <c r="K279" s="99" t="b">
        <v>1</v>
      </c>
      <c r="L279" s="95">
        <v>2018</v>
      </c>
      <c r="M279" s="96">
        <v>76353696</v>
      </c>
      <c r="N279" s="100">
        <v>41064</v>
      </c>
      <c r="O279" s="100">
        <v>41064</v>
      </c>
    </row>
    <row r="280" spans="1:15" ht="14.25">
      <c r="A280" s="97">
        <v>2012</v>
      </c>
      <c r="B280" s="98">
        <v>22012</v>
      </c>
      <c r="C280" s="98" t="s">
        <v>197</v>
      </c>
      <c r="D280" s="99">
        <v>206000</v>
      </c>
      <c r="E280" s="99">
        <v>0</v>
      </c>
      <c r="F280" s="99"/>
      <c r="G280" s="99">
        <v>50</v>
      </c>
      <c r="H280" s="99">
        <v>23</v>
      </c>
      <c r="I280" s="99" t="s">
        <v>219</v>
      </c>
      <c r="J280" s="99" t="s">
        <v>149</v>
      </c>
      <c r="K280" s="99" t="b">
        <v>1</v>
      </c>
      <c r="L280" s="95">
        <v>2013</v>
      </c>
      <c r="M280" s="96">
        <v>64287152</v>
      </c>
      <c r="N280" s="100">
        <v>41064</v>
      </c>
      <c r="O280" s="100">
        <v>41064</v>
      </c>
    </row>
    <row r="281" spans="1:15" ht="14.25">
      <c r="A281" s="97">
        <v>2012</v>
      </c>
      <c r="B281" s="98">
        <v>22012</v>
      </c>
      <c r="C281" s="98" t="s">
        <v>197</v>
      </c>
      <c r="D281" s="99">
        <v>206000</v>
      </c>
      <c r="E281" s="99">
        <v>0</v>
      </c>
      <c r="F281" s="99"/>
      <c r="G281" s="99">
        <v>52</v>
      </c>
      <c r="H281" s="99">
        <v>25</v>
      </c>
      <c r="I281" s="99" t="s">
        <v>212</v>
      </c>
      <c r="J281" s="99" t="s">
        <v>49</v>
      </c>
      <c r="K281" s="99" t="b">
        <v>1</v>
      </c>
      <c r="L281" s="95">
        <v>2020</v>
      </c>
      <c r="M281" s="96">
        <v>10992249</v>
      </c>
      <c r="N281" s="100">
        <v>41064</v>
      </c>
      <c r="O281" s="100">
        <v>41064</v>
      </c>
    </row>
    <row r="282" spans="1:15" ht="14.25">
      <c r="A282" s="97">
        <v>2012</v>
      </c>
      <c r="B282" s="98">
        <v>22012</v>
      </c>
      <c r="C282" s="98" t="s">
        <v>197</v>
      </c>
      <c r="D282" s="99">
        <v>206000</v>
      </c>
      <c r="E282" s="99">
        <v>0</v>
      </c>
      <c r="F282" s="99"/>
      <c r="G282" s="99">
        <v>9</v>
      </c>
      <c r="H282" s="99" t="s">
        <v>106</v>
      </c>
      <c r="I282" s="99"/>
      <c r="J282" s="99" t="s">
        <v>107</v>
      </c>
      <c r="K282" s="99" t="b">
        <v>0</v>
      </c>
      <c r="L282" s="95">
        <v>2016</v>
      </c>
      <c r="M282" s="96">
        <v>7705697</v>
      </c>
      <c r="N282" s="100">
        <v>41064</v>
      </c>
      <c r="O282" s="100">
        <v>41064</v>
      </c>
    </row>
    <row r="283" spans="1:15" ht="14.25">
      <c r="A283" s="97">
        <v>2012</v>
      </c>
      <c r="B283" s="98">
        <v>22012</v>
      </c>
      <c r="C283" s="98" t="s">
        <v>197</v>
      </c>
      <c r="D283" s="99">
        <v>206000</v>
      </c>
      <c r="E283" s="99">
        <v>0</v>
      </c>
      <c r="F283" s="99"/>
      <c r="G283" s="99">
        <v>9</v>
      </c>
      <c r="H283" s="99" t="s">
        <v>106</v>
      </c>
      <c r="I283" s="99"/>
      <c r="J283" s="99" t="s">
        <v>107</v>
      </c>
      <c r="K283" s="99" t="b">
        <v>0</v>
      </c>
      <c r="L283" s="95">
        <v>2020</v>
      </c>
      <c r="M283" s="96">
        <v>8340894</v>
      </c>
      <c r="N283" s="100">
        <v>41064</v>
      </c>
      <c r="O283" s="100">
        <v>41064</v>
      </c>
    </row>
    <row r="284" spans="1:15" ht="14.25">
      <c r="A284" s="97">
        <v>2012</v>
      </c>
      <c r="B284" s="98">
        <v>22012</v>
      </c>
      <c r="C284" s="98" t="s">
        <v>197</v>
      </c>
      <c r="D284" s="99">
        <v>206000</v>
      </c>
      <c r="E284" s="99">
        <v>0</v>
      </c>
      <c r="F284" s="99"/>
      <c r="G284" s="99">
        <v>7</v>
      </c>
      <c r="H284" s="99">
        <v>2</v>
      </c>
      <c r="I284" s="99"/>
      <c r="J284" s="99" t="s">
        <v>3</v>
      </c>
      <c r="K284" s="99" t="b">
        <v>1</v>
      </c>
      <c r="L284" s="95">
        <v>2016</v>
      </c>
      <c r="M284" s="96">
        <v>64076746</v>
      </c>
      <c r="N284" s="100">
        <v>41064</v>
      </c>
      <c r="O284" s="100">
        <v>41064</v>
      </c>
    </row>
    <row r="285" spans="1:15" ht="14.25">
      <c r="A285" s="97">
        <v>2012</v>
      </c>
      <c r="B285" s="98">
        <v>22012</v>
      </c>
      <c r="C285" s="98" t="s">
        <v>197</v>
      </c>
      <c r="D285" s="99">
        <v>206000</v>
      </c>
      <c r="E285" s="99">
        <v>0</v>
      </c>
      <c r="F285" s="99"/>
      <c r="G285" s="99">
        <v>43</v>
      </c>
      <c r="H285" s="99" t="s">
        <v>144</v>
      </c>
      <c r="I285" s="99" t="s">
        <v>216</v>
      </c>
      <c r="J285" s="99" t="s">
        <v>74</v>
      </c>
      <c r="K285" s="99" t="b">
        <v>0</v>
      </c>
      <c r="L285" s="95">
        <v>2017</v>
      </c>
      <c r="M285" s="96">
        <v>0.0255</v>
      </c>
      <c r="N285" s="100">
        <v>41064</v>
      </c>
      <c r="O285" s="100">
        <v>41064</v>
      </c>
    </row>
    <row r="286" spans="1:15" ht="14.25">
      <c r="A286" s="97">
        <v>2012</v>
      </c>
      <c r="B286" s="98">
        <v>22012</v>
      </c>
      <c r="C286" s="98" t="s">
        <v>197</v>
      </c>
      <c r="D286" s="99">
        <v>206000</v>
      </c>
      <c r="E286" s="99">
        <v>0</v>
      </c>
      <c r="F286" s="99"/>
      <c r="G286" s="99">
        <v>37</v>
      </c>
      <c r="H286" s="99">
        <v>16</v>
      </c>
      <c r="I286" s="99"/>
      <c r="J286" s="99" t="s">
        <v>140</v>
      </c>
      <c r="K286" s="99" t="b">
        <v>1</v>
      </c>
      <c r="L286" s="95">
        <v>2014</v>
      </c>
      <c r="M286" s="96">
        <v>2398000</v>
      </c>
      <c r="N286" s="100">
        <v>41064</v>
      </c>
      <c r="O286" s="100">
        <v>41064</v>
      </c>
    </row>
    <row r="287" spans="1:15" ht="14.25">
      <c r="A287" s="97">
        <v>2012</v>
      </c>
      <c r="B287" s="98">
        <v>22012</v>
      </c>
      <c r="C287" s="98" t="s">
        <v>197</v>
      </c>
      <c r="D287" s="99">
        <v>206000</v>
      </c>
      <c r="E287" s="99">
        <v>0</v>
      </c>
      <c r="F287" s="99"/>
      <c r="G287" s="99">
        <v>56</v>
      </c>
      <c r="H287" s="99">
        <v>29</v>
      </c>
      <c r="I287" s="99" t="s">
        <v>221</v>
      </c>
      <c r="J287" s="99" t="s">
        <v>152</v>
      </c>
      <c r="K287" s="99" t="b">
        <v>0</v>
      </c>
      <c r="L287" s="95">
        <v>2012</v>
      </c>
      <c r="M287" s="96">
        <v>2128239</v>
      </c>
      <c r="N287" s="100">
        <v>41064</v>
      </c>
      <c r="O287" s="100">
        <v>41064</v>
      </c>
    </row>
    <row r="288" spans="1:15" ht="14.25">
      <c r="A288" s="97">
        <v>2012</v>
      </c>
      <c r="B288" s="98">
        <v>22012</v>
      </c>
      <c r="C288" s="98" t="s">
        <v>197</v>
      </c>
      <c r="D288" s="99">
        <v>206000</v>
      </c>
      <c r="E288" s="99">
        <v>0</v>
      </c>
      <c r="F288" s="99"/>
      <c r="G288" s="99">
        <v>12</v>
      </c>
      <c r="H288" s="99" t="s">
        <v>112</v>
      </c>
      <c r="I288" s="99"/>
      <c r="J288" s="99" t="s">
        <v>113</v>
      </c>
      <c r="K288" s="99" t="b">
        <v>0</v>
      </c>
      <c r="L288" s="95">
        <v>2017</v>
      </c>
      <c r="M288" s="96">
        <v>513344</v>
      </c>
      <c r="N288" s="100">
        <v>41064</v>
      </c>
      <c r="O288" s="100">
        <v>41064</v>
      </c>
    </row>
    <row r="289" spans="1:15" ht="14.25">
      <c r="A289" s="97">
        <v>2012</v>
      </c>
      <c r="B289" s="98">
        <v>22012</v>
      </c>
      <c r="C289" s="98" t="s">
        <v>197</v>
      </c>
      <c r="D289" s="99">
        <v>206000</v>
      </c>
      <c r="E289" s="99">
        <v>0</v>
      </c>
      <c r="F289" s="99"/>
      <c r="G289" s="99">
        <v>57</v>
      </c>
      <c r="H289" s="99">
        <v>30</v>
      </c>
      <c r="I289" s="99" t="s">
        <v>200</v>
      </c>
      <c r="J289" s="99" t="s">
        <v>153</v>
      </c>
      <c r="K289" s="99" t="b">
        <v>0</v>
      </c>
      <c r="L289" s="95">
        <v>2015</v>
      </c>
      <c r="M289" s="96">
        <v>3648000</v>
      </c>
      <c r="N289" s="100">
        <v>41064</v>
      </c>
      <c r="O289" s="100">
        <v>41064</v>
      </c>
    </row>
    <row r="290" spans="1:15" ht="14.25">
      <c r="A290" s="97">
        <v>2012</v>
      </c>
      <c r="B290" s="98">
        <v>22012</v>
      </c>
      <c r="C290" s="98" t="s">
        <v>197</v>
      </c>
      <c r="D290" s="99">
        <v>206000</v>
      </c>
      <c r="E290" s="99">
        <v>0</v>
      </c>
      <c r="F290" s="99"/>
      <c r="G290" s="99">
        <v>20</v>
      </c>
      <c r="H290" s="99">
        <v>7</v>
      </c>
      <c r="I290" s="99" t="s">
        <v>214</v>
      </c>
      <c r="J290" s="99" t="s">
        <v>12</v>
      </c>
      <c r="K290" s="99" t="b">
        <v>1</v>
      </c>
      <c r="L290" s="95">
        <v>2020</v>
      </c>
      <c r="M290" s="96">
        <v>1571000</v>
      </c>
      <c r="N290" s="100">
        <v>41064</v>
      </c>
      <c r="O290" s="100">
        <v>41064</v>
      </c>
    </row>
    <row r="291" spans="1:15" ht="14.25">
      <c r="A291" s="97">
        <v>2012</v>
      </c>
      <c r="B291" s="98">
        <v>22012</v>
      </c>
      <c r="C291" s="98" t="s">
        <v>197</v>
      </c>
      <c r="D291" s="99">
        <v>206000</v>
      </c>
      <c r="E291" s="99">
        <v>0</v>
      </c>
      <c r="F291" s="99"/>
      <c r="G291" s="99">
        <v>47</v>
      </c>
      <c r="H291" s="99" t="s">
        <v>147</v>
      </c>
      <c r="I291" s="99" t="s">
        <v>207</v>
      </c>
      <c r="J291" s="99" t="s">
        <v>76</v>
      </c>
      <c r="K291" s="99" t="b">
        <v>0</v>
      </c>
      <c r="L291" s="95">
        <v>2019</v>
      </c>
      <c r="M291" s="96">
        <v>769</v>
      </c>
      <c r="N291" s="100">
        <v>41064</v>
      </c>
      <c r="O291" s="100">
        <v>41064</v>
      </c>
    </row>
    <row r="292" spans="1:15" ht="14.25">
      <c r="A292" s="97">
        <v>2012</v>
      </c>
      <c r="B292" s="98">
        <v>22012</v>
      </c>
      <c r="C292" s="98" t="s">
        <v>197</v>
      </c>
      <c r="D292" s="99">
        <v>206000</v>
      </c>
      <c r="E292" s="99">
        <v>0</v>
      </c>
      <c r="F292" s="99"/>
      <c r="G292" s="99">
        <v>47</v>
      </c>
      <c r="H292" s="99" t="s">
        <v>147</v>
      </c>
      <c r="I292" s="99" t="s">
        <v>207</v>
      </c>
      <c r="J292" s="99" t="s">
        <v>76</v>
      </c>
      <c r="K292" s="99" t="b">
        <v>0</v>
      </c>
      <c r="L292" s="95">
        <v>2016</v>
      </c>
      <c r="M292" s="96">
        <v>399</v>
      </c>
      <c r="N292" s="100">
        <v>41064</v>
      </c>
      <c r="O292" s="100">
        <v>41064</v>
      </c>
    </row>
    <row r="293" spans="1:15" ht="14.25">
      <c r="A293" s="97">
        <v>2012</v>
      </c>
      <c r="B293" s="98">
        <v>22012</v>
      </c>
      <c r="C293" s="98" t="s">
        <v>197</v>
      </c>
      <c r="D293" s="99">
        <v>206000</v>
      </c>
      <c r="E293" s="99">
        <v>0</v>
      </c>
      <c r="F293" s="99"/>
      <c r="G293" s="99">
        <v>57</v>
      </c>
      <c r="H293" s="99">
        <v>30</v>
      </c>
      <c r="I293" s="99" t="s">
        <v>200</v>
      </c>
      <c r="J293" s="99" t="s">
        <v>153</v>
      </c>
      <c r="K293" s="99" t="b">
        <v>0</v>
      </c>
      <c r="L293" s="95">
        <v>2013</v>
      </c>
      <c r="M293" s="96">
        <v>3048000</v>
      </c>
      <c r="N293" s="100">
        <v>41064</v>
      </c>
      <c r="O293" s="100">
        <v>41064</v>
      </c>
    </row>
    <row r="294" spans="1:15" ht="14.25">
      <c r="A294" s="97">
        <v>2012</v>
      </c>
      <c r="B294" s="98">
        <v>22012</v>
      </c>
      <c r="C294" s="98" t="s">
        <v>197</v>
      </c>
      <c r="D294" s="99">
        <v>206000</v>
      </c>
      <c r="E294" s="99">
        <v>0</v>
      </c>
      <c r="F294" s="99"/>
      <c r="G294" s="99">
        <v>43</v>
      </c>
      <c r="H294" s="99" t="s">
        <v>144</v>
      </c>
      <c r="I294" s="99" t="s">
        <v>216</v>
      </c>
      <c r="J294" s="99" t="s">
        <v>74</v>
      </c>
      <c r="K294" s="99" t="b">
        <v>0</v>
      </c>
      <c r="L294" s="95">
        <v>2012</v>
      </c>
      <c r="M294" s="96">
        <v>0.0652</v>
      </c>
      <c r="N294" s="100">
        <v>41064</v>
      </c>
      <c r="O294" s="100">
        <v>41064</v>
      </c>
    </row>
    <row r="295" spans="1:15" ht="14.25">
      <c r="A295" s="97">
        <v>2012</v>
      </c>
      <c r="B295" s="98">
        <v>22012</v>
      </c>
      <c r="C295" s="98" t="s">
        <v>197</v>
      </c>
      <c r="D295" s="99">
        <v>206000</v>
      </c>
      <c r="E295" s="99">
        <v>0</v>
      </c>
      <c r="F295" s="99"/>
      <c r="G295" s="99">
        <v>54</v>
      </c>
      <c r="H295" s="99">
        <v>27</v>
      </c>
      <c r="I295" s="99" t="s">
        <v>199</v>
      </c>
      <c r="J295" s="99" t="s">
        <v>46</v>
      </c>
      <c r="K295" s="99" t="b">
        <v>0</v>
      </c>
      <c r="L295" s="95">
        <v>2018</v>
      </c>
      <c r="M295" s="96">
        <v>74355696</v>
      </c>
      <c r="N295" s="100">
        <v>41064</v>
      </c>
      <c r="O295" s="100">
        <v>41064</v>
      </c>
    </row>
    <row r="296" spans="1:15" ht="14.25">
      <c r="A296" s="97">
        <v>2012</v>
      </c>
      <c r="B296" s="98">
        <v>22012</v>
      </c>
      <c r="C296" s="98" t="s">
        <v>197</v>
      </c>
      <c r="D296" s="99">
        <v>206000</v>
      </c>
      <c r="E296" s="99">
        <v>0</v>
      </c>
      <c r="F296" s="99"/>
      <c r="G296" s="99">
        <v>53</v>
      </c>
      <c r="H296" s="99">
        <v>26</v>
      </c>
      <c r="I296" s="99" t="s">
        <v>211</v>
      </c>
      <c r="J296" s="99" t="s">
        <v>151</v>
      </c>
      <c r="K296" s="99" t="b">
        <v>1</v>
      </c>
      <c r="L296" s="95">
        <v>2015</v>
      </c>
      <c r="M296" s="96">
        <v>68866659</v>
      </c>
      <c r="N296" s="100">
        <v>41064</v>
      </c>
      <c r="O296" s="100">
        <v>41064</v>
      </c>
    </row>
    <row r="297" spans="1:15" ht="14.25">
      <c r="A297" s="97">
        <v>2012</v>
      </c>
      <c r="B297" s="98">
        <v>22012</v>
      </c>
      <c r="C297" s="98" t="s">
        <v>197</v>
      </c>
      <c r="D297" s="99">
        <v>206000</v>
      </c>
      <c r="E297" s="99">
        <v>0</v>
      </c>
      <c r="F297" s="99"/>
      <c r="G297" s="99">
        <v>53</v>
      </c>
      <c r="H297" s="99">
        <v>26</v>
      </c>
      <c r="I297" s="99" t="s">
        <v>211</v>
      </c>
      <c r="J297" s="99" t="s">
        <v>151</v>
      </c>
      <c r="K297" s="99" t="b">
        <v>1</v>
      </c>
      <c r="L297" s="95">
        <v>2013</v>
      </c>
      <c r="M297" s="96">
        <v>66487152</v>
      </c>
      <c r="N297" s="100">
        <v>41064</v>
      </c>
      <c r="O297" s="100">
        <v>41064</v>
      </c>
    </row>
    <row r="298" spans="1:15" ht="14.25">
      <c r="A298" s="97">
        <v>2012</v>
      </c>
      <c r="B298" s="98">
        <v>22012</v>
      </c>
      <c r="C298" s="98" t="s">
        <v>197</v>
      </c>
      <c r="D298" s="99">
        <v>206000</v>
      </c>
      <c r="E298" s="99">
        <v>0</v>
      </c>
      <c r="F298" s="99"/>
      <c r="G298" s="99">
        <v>53</v>
      </c>
      <c r="H298" s="99">
        <v>26</v>
      </c>
      <c r="I298" s="99" t="s">
        <v>211</v>
      </c>
      <c r="J298" s="99" t="s">
        <v>151</v>
      </c>
      <c r="K298" s="99" t="b">
        <v>1</v>
      </c>
      <c r="L298" s="95">
        <v>2016</v>
      </c>
      <c r="M298" s="96">
        <v>71276992</v>
      </c>
      <c r="N298" s="100">
        <v>41064</v>
      </c>
      <c r="O298" s="100">
        <v>41064</v>
      </c>
    </row>
    <row r="299" spans="1:15" ht="14.25">
      <c r="A299" s="97">
        <v>2012</v>
      </c>
      <c r="B299" s="98">
        <v>22012</v>
      </c>
      <c r="C299" s="98" t="s">
        <v>197</v>
      </c>
      <c r="D299" s="99">
        <v>206000</v>
      </c>
      <c r="E299" s="99">
        <v>0</v>
      </c>
      <c r="F299" s="99"/>
      <c r="G299" s="99">
        <v>19</v>
      </c>
      <c r="H299" s="99">
        <v>6</v>
      </c>
      <c r="I299" s="99" t="s">
        <v>210</v>
      </c>
      <c r="J299" s="99" t="s">
        <v>121</v>
      </c>
      <c r="K299" s="99" t="b">
        <v>0</v>
      </c>
      <c r="L299" s="95">
        <v>2017</v>
      </c>
      <c r="M299" s="96">
        <v>8093022</v>
      </c>
      <c r="N299" s="100">
        <v>41064</v>
      </c>
      <c r="O299" s="100">
        <v>41064</v>
      </c>
    </row>
    <row r="300" spans="1:15" ht="14.25">
      <c r="A300" s="97">
        <v>2012</v>
      </c>
      <c r="B300" s="98">
        <v>22012</v>
      </c>
      <c r="C300" s="98" t="s">
        <v>197</v>
      </c>
      <c r="D300" s="99">
        <v>206000</v>
      </c>
      <c r="E300" s="99">
        <v>0</v>
      </c>
      <c r="F300" s="99"/>
      <c r="G300" s="99">
        <v>51</v>
      </c>
      <c r="H300" s="99">
        <v>24</v>
      </c>
      <c r="I300" s="99" t="s">
        <v>201</v>
      </c>
      <c r="J300" s="99" t="s">
        <v>150</v>
      </c>
      <c r="K300" s="99" t="b">
        <v>1</v>
      </c>
      <c r="L300" s="95">
        <v>2018</v>
      </c>
      <c r="M300" s="96">
        <v>67601632</v>
      </c>
      <c r="N300" s="100">
        <v>41064</v>
      </c>
      <c r="O300" s="100">
        <v>41064</v>
      </c>
    </row>
    <row r="301" spans="1:15" ht="14.25">
      <c r="A301" s="97">
        <v>2012</v>
      </c>
      <c r="B301" s="98">
        <v>22012</v>
      </c>
      <c r="C301" s="98" t="s">
        <v>197</v>
      </c>
      <c r="D301" s="99">
        <v>206000</v>
      </c>
      <c r="E301" s="99">
        <v>0</v>
      </c>
      <c r="F301" s="99"/>
      <c r="G301" s="99">
        <v>37</v>
      </c>
      <c r="H301" s="99">
        <v>16</v>
      </c>
      <c r="I301" s="99"/>
      <c r="J301" s="99" t="s">
        <v>140</v>
      </c>
      <c r="K301" s="99" t="b">
        <v>1</v>
      </c>
      <c r="L301" s="95">
        <v>2017</v>
      </c>
      <c r="M301" s="96">
        <v>1498000</v>
      </c>
      <c r="N301" s="100">
        <v>41064</v>
      </c>
      <c r="O301" s="100">
        <v>41064</v>
      </c>
    </row>
    <row r="302" spans="1:15" ht="14.25">
      <c r="A302" s="97">
        <v>2012</v>
      </c>
      <c r="B302" s="98">
        <v>22012</v>
      </c>
      <c r="C302" s="98" t="s">
        <v>197</v>
      </c>
      <c r="D302" s="99">
        <v>206000</v>
      </c>
      <c r="E302" s="99">
        <v>0</v>
      </c>
      <c r="F302" s="99"/>
      <c r="G302" s="99">
        <v>7</v>
      </c>
      <c r="H302" s="99">
        <v>2</v>
      </c>
      <c r="I302" s="99"/>
      <c r="J302" s="99" t="s">
        <v>3</v>
      </c>
      <c r="K302" s="99" t="b">
        <v>1</v>
      </c>
      <c r="L302" s="95">
        <v>2012</v>
      </c>
      <c r="M302" s="96">
        <v>66106486</v>
      </c>
      <c r="N302" s="100">
        <v>41064</v>
      </c>
      <c r="O302" s="100">
        <v>41064</v>
      </c>
    </row>
    <row r="303" spans="1:15" ht="14.25">
      <c r="A303" s="97">
        <v>2012</v>
      </c>
      <c r="B303" s="98">
        <v>22012</v>
      </c>
      <c r="C303" s="98" t="s">
        <v>197</v>
      </c>
      <c r="D303" s="99">
        <v>206000</v>
      </c>
      <c r="E303" s="99">
        <v>0</v>
      </c>
      <c r="F303" s="99"/>
      <c r="G303" s="99">
        <v>38</v>
      </c>
      <c r="H303" s="99">
        <v>17</v>
      </c>
      <c r="I303" s="99"/>
      <c r="J303" s="99" t="s">
        <v>91</v>
      </c>
      <c r="K303" s="99" t="b">
        <v>1</v>
      </c>
      <c r="L303" s="95">
        <v>2017</v>
      </c>
      <c r="M303" s="96">
        <v>571899</v>
      </c>
      <c r="N303" s="100">
        <v>41064</v>
      </c>
      <c r="O303" s="100">
        <v>41064</v>
      </c>
    </row>
    <row r="304" spans="1:15" ht="14.25">
      <c r="A304" s="97">
        <v>2012</v>
      </c>
      <c r="B304" s="98">
        <v>22012</v>
      </c>
      <c r="C304" s="98" t="s">
        <v>197</v>
      </c>
      <c r="D304" s="99">
        <v>206000</v>
      </c>
      <c r="E304" s="99">
        <v>0</v>
      </c>
      <c r="F304" s="99"/>
      <c r="G304" s="99">
        <v>44</v>
      </c>
      <c r="H304" s="99">
        <v>20</v>
      </c>
      <c r="I304" s="99" t="s">
        <v>215</v>
      </c>
      <c r="J304" s="99" t="s">
        <v>145</v>
      </c>
      <c r="K304" s="99" t="b">
        <v>1</v>
      </c>
      <c r="L304" s="95">
        <v>2019</v>
      </c>
      <c r="M304" s="96">
        <v>0.1246</v>
      </c>
      <c r="N304" s="100">
        <v>41064</v>
      </c>
      <c r="O304" s="100">
        <v>41064</v>
      </c>
    </row>
    <row r="305" spans="1:15" ht="14.25">
      <c r="A305" s="97">
        <v>2012</v>
      </c>
      <c r="B305" s="98">
        <v>22012</v>
      </c>
      <c r="C305" s="98" t="s">
        <v>197</v>
      </c>
      <c r="D305" s="99">
        <v>206000</v>
      </c>
      <c r="E305" s="99">
        <v>0</v>
      </c>
      <c r="F305" s="99"/>
      <c r="G305" s="99">
        <v>19</v>
      </c>
      <c r="H305" s="99">
        <v>6</v>
      </c>
      <c r="I305" s="99" t="s">
        <v>210</v>
      </c>
      <c r="J305" s="99" t="s">
        <v>121</v>
      </c>
      <c r="K305" s="99" t="b">
        <v>0</v>
      </c>
      <c r="L305" s="95">
        <v>2012</v>
      </c>
      <c r="M305" s="96">
        <v>5907011</v>
      </c>
      <c r="N305" s="100">
        <v>41064</v>
      </c>
      <c r="O305" s="100">
        <v>41064</v>
      </c>
    </row>
    <row r="306" spans="1:15" ht="14.25">
      <c r="A306" s="97">
        <v>2012</v>
      </c>
      <c r="B306" s="98">
        <v>22012</v>
      </c>
      <c r="C306" s="98" t="s">
        <v>197</v>
      </c>
      <c r="D306" s="99">
        <v>206000</v>
      </c>
      <c r="E306" s="99">
        <v>0</v>
      </c>
      <c r="F306" s="99"/>
      <c r="G306" s="99">
        <v>7</v>
      </c>
      <c r="H306" s="99">
        <v>2</v>
      </c>
      <c r="I306" s="99"/>
      <c r="J306" s="99" t="s">
        <v>3</v>
      </c>
      <c r="K306" s="99" t="b">
        <v>1</v>
      </c>
      <c r="L306" s="95">
        <v>2020</v>
      </c>
      <c r="M306" s="96">
        <v>70728739</v>
      </c>
      <c r="N306" s="100">
        <v>41064</v>
      </c>
      <c r="O306" s="100">
        <v>41064</v>
      </c>
    </row>
    <row r="307" spans="1:15" ht="14.25">
      <c r="A307" s="97">
        <v>2012</v>
      </c>
      <c r="B307" s="98">
        <v>22012</v>
      </c>
      <c r="C307" s="98" t="s">
        <v>197</v>
      </c>
      <c r="D307" s="99">
        <v>206000</v>
      </c>
      <c r="E307" s="99">
        <v>0</v>
      </c>
      <c r="F307" s="99"/>
      <c r="G307" s="99">
        <v>43</v>
      </c>
      <c r="H307" s="99" t="s">
        <v>144</v>
      </c>
      <c r="I307" s="99" t="s">
        <v>216</v>
      </c>
      <c r="J307" s="99" t="s">
        <v>74</v>
      </c>
      <c r="K307" s="99" t="b">
        <v>0</v>
      </c>
      <c r="L307" s="95">
        <v>2019</v>
      </c>
      <c r="M307" s="96">
        <v>0.0275</v>
      </c>
      <c r="N307" s="100">
        <v>41064</v>
      </c>
      <c r="O307" s="100">
        <v>41064</v>
      </c>
    </row>
    <row r="308" spans="1:15" ht="14.25">
      <c r="A308" s="97">
        <v>2012</v>
      </c>
      <c r="B308" s="98">
        <v>22012</v>
      </c>
      <c r="C308" s="98" t="s">
        <v>197</v>
      </c>
      <c r="D308" s="99">
        <v>206000</v>
      </c>
      <c r="E308" s="99">
        <v>0</v>
      </c>
      <c r="F308" s="99"/>
      <c r="G308" s="99">
        <v>50</v>
      </c>
      <c r="H308" s="99">
        <v>23</v>
      </c>
      <c r="I308" s="99" t="s">
        <v>219</v>
      </c>
      <c r="J308" s="99" t="s">
        <v>149</v>
      </c>
      <c r="K308" s="99" t="b">
        <v>1</v>
      </c>
      <c r="L308" s="95">
        <v>2014</v>
      </c>
      <c r="M308" s="96">
        <v>66537835</v>
      </c>
      <c r="N308" s="100">
        <v>41064</v>
      </c>
      <c r="O308" s="100">
        <v>41064</v>
      </c>
    </row>
    <row r="309" spans="1:15" ht="14.25">
      <c r="A309" s="97">
        <v>2012</v>
      </c>
      <c r="B309" s="98">
        <v>22012</v>
      </c>
      <c r="C309" s="98" t="s">
        <v>197</v>
      </c>
      <c r="D309" s="99">
        <v>206000</v>
      </c>
      <c r="E309" s="99">
        <v>0</v>
      </c>
      <c r="F309" s="99"/>
      <c r="G309" s="99">
        <v>40</v>
      </c>
      <c r="H309" s="99">
        <v>18</v>
      </c>
      <c r="I309" s="99" t="s">
        <v>217</v>
      </c>
      <c r="J309" s="99" t="s">
        <v>69</v>
      </c>
      <c r="K309" s="99" t="b">
        <v>0</v>
      </c>
      <c r="L309" s="95">
        <v>2018</v>
      </c>
      <c r="M309" s="96">
        <v>0.0458</v>
      </c>
      <c r="N309" s="100">
        <v>41064</v>
      </c>
      <c r="O309" s="100">
        <v>41064</v>
      </c>
    </row>
    <row r="310" spans="1:15" ht="14.25">
      <c r="A310" s="97">
        <v>2012</v>
      </c>
      <c r="B310" s="98">
        <v>22012</v>
      </c>
      <c r="C310" s="98" t="s">
        <v>197</v>
      </c>
      <c r="D310" s="99">
        <v>206000</v>
      </c>
      <c r="E310" s="99">
        <v>0</v>
      </c>
      <c r="F310" s="99"/>
      <c r="G310" s="99">
        <v>43</v>
      </c>
      <c r="H310" s="99" t="s">
        <v>144</v>
      </c>
      <c r="I310" s="99" t="s">
        <v>216</v>
      </c>
      <c r="J310" s="99" t="s">
        <v>74</v>
      </c>
      <c r="K310" s="99" t="b">
        <v>0</v>
      </c>
      <c r="L310" s="95">
        <v>2015</v>
      </c>
      <c r="M310" s="96">
        <v>0.0625</v>
      </c>
      <c r="N310" s="100">
        <v>41064</v>
      </c>
      <c r="O310" s="100">
        <v>41064</v>
      </c>
    </row>
    <row r="311" spans="1:15" ht="14.25">
      <c r="A311" s="97">
        <v>2012</v>
      </c>
      <c r="B311" s="98">
        <v>22012</v>
      </c>
      <c r="C311" s="98" t="s">
        <v>197</v>
      </c>
      <c r="D311" s="99">
        <v>206000</v>
      </c>
      <c r="E311" s="99">
        <v>0</v>
      </c>
      <c r="F311" s="99"/>
      <c r="G311" s="99">
        <v>42</v>
      </c>
      <c r="H311" s="99">
        <v>19</v>
      </c>
      <c r="I311" s="99" t="s">
        <v>218</v>
      </c>
      <c r="J311" s="99" t="s">
        <v>72</v>
      </c>
      <c r="K311" s="99" t="b">
        <v>1</v>
      </c>
      <c r="L311" s="95">
        <v>2015</v>
      </c>
      <c r="M311" s="96">
        <v>0.0625</v>
      </c>
      <c r="N311" s="100">
        <v>41064</v>
      </c>
      <c r="O311" s="100">
        <v>41064</v>
      </c>
    </row>
    <row r="312" spans="1:15" ht="14.25">
      <c r="A312" s="97">
        <v>2012</v>
      </c>
      <c r="B312" s="98">
        <v>22012</v>
      </c>
      <c r="C312" s="98" t="s">
        <v>197</v>
      </c>
      <c r="D312" s="99">
        <v>206000</v>
      </c>
      <c r="E312" s="99">
        <v>0</v>
      </c>
      <c r="F312" s="99"/>
      <c r="G312" s="99">
        <v>42</v>
      </c>
      <c r="H312" s="99">
        <v>19</v>
      </c>
      <c r="I312" s="99" t="s">
        <v>218</v>
      </c>
      <c r="J312" s="99" t="s">
        <v>72</v>
      </c>
      <c r="K312" s="99" t="b">
        <v>1</v>
      </c>
      <c r="L312" s="95">
        <v>2013</v>
      </c>
      <c r="M312" s="96">
        <v>0.0609</v>
      </c>
      <c r="N312" s="100">
        <v>41064</v>
      </c>
      <c r="O312" s="100">
        <v>41064</v>
      </c>
    </row>
    <row r="313" spans="1:15" ht="14.25">
      <c r="A313" s="97">
        <v>2012</v>
      </c>
      <c r="B313" s="98">
        <v>22012</v>
      </c>
      <c r="C313" s="98" t="s">
        <v>197</v>
      </c>
      <c r="D313" s="99">
        <v>206000</v>
      </c>
      <c r="E313" s="99">
        <v>0</v>
      </c>
      <c r="F313" s="99"/>
      <c r="G313" s="99">
        <v>43</v>
      </c>
      <c r="H313" s="99" t="s">
        <v>144</v>
      </c>
      <c r="I313" s="99" t="s">
        <v>216</v>
      </c>
      <c r="J313" s="99" t="s">
        <v>74</v>
      </c>
      <c r="K313" s="99" t="b">
        <v>0</v>
      </c>
      <c r="L313" s="95">
        <v>2020</v>
      </c>
      <c r="M313" s="96">
        <v>0.0192</v>
      </c>
      <c r="N313" s="100">
        <v>41064</v>
      </c>
      <c r="O313" s="100">
        <v>41064</v>
      </c>
    </row>
    <row r="314" spans="1:15" ht="14.25">
      <c r="A314" s="97">
        <v>2012</v>
      </c>
      <c r="B314" s="98">
        <v>22012</v>
      </c>
      <c r="C314" s="98" t="s">
        <v>197</v>
      </c>
      <c r="D314" s="99">
        <v>206000</v>
      </c>
      <c r="E314" s="99">
        <v>0</v>
      </c>
      <c r="F314" s="99"/>
      <c r="G314" s="99">
        <v>39</v>
      </c>
      <c r="H314" s="99" t="s">
        <v>141</v>
      </c>
      <c r="I314" s="99"/>
      <c r="J314" s="99" t="s">
        <v>142</v>
      </c>
      <c r="K314" s="99" t="b">
        <v>1</v>
      </c>
      <c r="L314" s="95">
        <v>2014</v>
      </c>
      <c r="M314" s="96">
        <v>2187692</v>
      </c>
      <c r="N314" s="100">
        <v>41064</v>
      </c>
      <c r="O314" s="100">
        <v>41064</v>
      </c>
    </row>
    <row r="315" spans="1:15" ht="14.25">
      <c r="A315" s="97">
        <v>2012</v>
      </c>
      <c r="B315" s="98">
        <v>22012</v>
      </c>
      <c r="C315" s="98" t="s">
        <v>197</v>
      </c>
      <c r="D315" s="99">
        <v>206000</v>
      </c>
      <c r="E315" s="99">
        <v>0</v>
      </c>
      <c r="F315" s="99"/>
      <c r="G315" s="99">
        <v>40</v>
      </c>
      <c r="H315" s="99">
        <v>18</v>
      </c>
      <c r="I315" s="99" t="s">
        <v>217</v>
      </c>
      <c r="J315" s="99" t="s">
        <v>69</v>
      </c>
      <c r="K315" s="99" t="b">
        <v>0</v>
      </c>
      <c r="L315" s="95">
        <v>2012</v>
      </c>
      <c r="M315" s="96">
        <v>0.2785</v>
      </c>
      <c r="N315" s="100">
        <v>41064</v>
      </c>
      <c r="O315" s="100">
        <v>41064</v>
      </c>
    </row>
    <row r="316" spans="1:15" ht="14.25">
      <c r="A316" s="97">
        <v>2012</v>
      </c>
      <c r="B316" s="98">
        <v>22012</v>
      </c>
      <c r="C316" s="98" t="s">
        <v>197</v>
      </c>
      <c r="D316" s="99">
        <v>206000</v>
      </c>
      <c r="E316" s="99">
        <v>0</v>
      </c>
      <c r="F316" s="99"/>
      <c r="G316" s="99">
        <v>41</v>
      </c>
      <c r="H316" s="99" t="s">
        <v>143</v>
      </c>
      <c r="I316" s="99" t="s">
        <v>203</v>
      </c>
      <c r="J316" s="99" t="s">
        <v>71</v>
      </c>
      <c r="K316" s="99" t="b">
        <v>0</v>
      </c>
      <c r="L316" s="95">
        <v>2018</v>
      </c>
      <c r="M316" s="96">
        <v>0.0458</v>
      </c>
      <c r="N316" s="100">
        <v>41064</v>
      </c>
      <c r="O316" s="100">
        <v>41064</v>
      </c>
    </row>
    <row r="317" spans="1:15" ht="14.25">
      <c r="A317" s="97">
        <v>2012</v>
      </c>
      <c r="B317" s="98">
        <v>22012</v>
      </c>
      <c r="C317" s="98" t="s">
        <v>197</v>
      </c>
      <c r="D317" s="99">
        <v>206000</v>
      </c>
      <c r="E317" s="99">
        <v>0</v>
      </c>
      <c r="F317" s="99"/>
      <c r="G317" s="99">
        <v>45</v>
      </c>
      <c r="H317" s="99" t="s">
        <v>146</v>
      </c>
      <c r="I317" s="99" t="s">
        <v>206</v>
      </c>
      <c r="J317" s="99" t="s">
        <v>53</v>
      </c>
      <c r="K317" s="99" t="b">
        <v>0</v>
      </c>
      <c r="L317" s="95">
        <v>2020</v>
      </c>
      <c r="M317" s="96">
        <v>0.1146</v>
      </c>
      <c r="N317" s="100">
        <v>41064</v>
      </c>
      <c r="O317" s="100">
        <v>41064</v>
      </c>
    </row>
    <row r="318" spans="1:15" ht="14.25">
      <c r="A318" s="97">
        <v>2012</v>
      </c>
      <c r="B318" s="98">
        <v>22012</v>
      </c>
      <c r="C318" s="98" t="s">
        <v>197</v>
      </c>
      <c r="D318" s="99">
        <v>206000</v>
      </c>
      <c r="E318" s="99">
        <v>0</v>
      </c>
      <c r="F318" s="99"/>
      <c r="G318" s="99">
        <v>9</v>
      </c>
      <c r="H318" s="99" t="s">
        <v>106</v>
      </c>
      <c r="I318" s="99"/>
      <c r="J318" s="99" t="s">
        <v>107</v>
      </c>
      <c r="K318" s="99" t="b">
        <v>0</v>
      </c>
      <c r="L318" s="95">
        <v>2012</v>
      </c>
      <c r="M318" s="96">
        <v>7392346</v>
      </c>
      <c r="N318" s="100">
        <v>41064</v>
      </c>
      <c r="O318" s="100">
        <v>41064</v>
      </c>
    </row>
    <row r="319" spans="1:15" ht="14.25">
      <c r="A319" s="97">
        <v>2012</v>
      </c>
      <c r="B319" s="98">
        <v>22012</v>
      </c>
      <c r="C319" s="98" t="s">
        <v>197</v>
      </c>
      <c r="D319" s="99">
        <v>206000</v>
      </c>
      <c r="E319" s="99">
        <v>0</v>
      </c>
      <c r="F319" s="99"/>
      <c r="G319" s="99">
        <v>57</v>
      </c>
      <c r="H319" s="99">
        <v>30</v>
      </c>
      <c r="I319" s="99" t="s">
        <v>200</v>
      </c>
      <c r="J319" s="99" t="s">
        <v>153</v>
      </c>
      <c r="K319" s="99" t="b">
        <v>0</v>
      </c>
      <c r="L319" s="95">
        <v>2018</v>
      </c>
      <c r="M319" s="96">
        <v>1998000</v>
      </c>
      <c r="N319" s="100">
        <v>41064</v>
      </c>
      <c r="O319" s="100">
        <v>41064</v>
      </c>
    </row>
    <row r="320" spans="1:15" ht="14.25">
      <c r="A320" s="97">
        <v>2012</v>
      </c>
      <c r="B320" s="98">
        <v>22012</v>
      </c>
      <c r="C320" s="98" t="s">
        <v>197</v>
      </c>
      <c r="D320" s="99">
        <v>206000</v>
      </c>
      <c r="E320" s="99">
        <v>0</v>
      </c>
      <c r="F320" s="99"/>
      <c r="G320" s="99">
        <v>14</v>
      </c>
      <c r="H320" s="99">
        <v>3</v>
      </c>
      <c r="I320" s="99" t="s">
        <v>213</v>
      </c>
      <c r="J320" s="99" t="s">
        <v>116</v>
      </c>
      <c r="K320" s="99" t="b">
        <v>1</v>
      </c>
      <c r="L320" s="95">
        <v>2019</v>
      </c>
      <c r="M320" s="96">
        <v>10022428</v>
      </c>
      <c r="N320" s="100">
        <v>41064</v>
      </c>
      <c r="O320" s="100">
        <v>41064</v>
      </c>
    </row>
    <row r="321" spans="1:15" ht="14.25">
      <c r="A321" s="97">
        <v>2012</v>
      </c>
      <c r="B321" s="98">
        <v>22012</v>
      </c>
      <c r="C321" s="98" t="s">
        <v>197</v>
      </c>
      <c r="D321" s="99">
        <v>206000</v>
      </c>
      <c r="E321" s="99">
        <v>0</v>
      </c>
      <c r="F321" s="99"/>
      <c r="G321" s="99">
        <v>46</v>
      </c>
      <c r="H321" s="99">
        <v>21</v>
      </c>
      <c r="I321" s="99" t="s">
        <v>209</v>
      </c>
      <c r="J321" s="99" t="s">
        <v>54</v>
      </c>
      <c r="K321" s="99" t="b">
        <v>1</v>
      </c>
      <c r="L321" s="95">
        <v>2014</v>
      </c>
      <c r="M321" s="96">
        <v>0.0481</v>
      </c>
      <c r="N321" s="100">
        <v>41064</v>
      </c>
      <c r="O321" s="100">
        <v>41064</v>
      </c>
    </row>
    <row r="322" spans="1:15" ht="14.25">
      <c r="A322" s="97">
        <v>2012</v>
      </c>
      <c r="B322" s="98">
        <v>22012</v>
      </c>
      <c r="C322" s="98" t="s">
        <v>197</v>
      </c>
      <c r="D322" s="99">
        <v>206000</v>
      </c>
      <c r="E322" s="99">
        <v>0</v>
      </c>
      <c r="F322" s="99"/>
      <c r="G322" s="99">
        <v>26</v>
      </c>
      <c r="H322" s="99">
        <v>9</v>
      </c>
      <c r="I322" s="99" t="s">
        <v>205</v>
      </c>
      <c r="J322" s="99" t="s">
        <v>131</v>
      </c>
      <c r="K322" s="99" t="b">
        <v>0</v>
      </c>
      <c r="L322" s="95">
        <v>2012</v>
      </c>
      <c r="M322" s="96">
        <v>1352906</v>
      </c>
      <c r="N322" s="100">
        <v>41064</v>
      </c>
      <c r="O322" s="100">
        <v>41064</v>
      </c>
    </row>
    <row r="323" spans="1:15" ht="14.25">
      <c r="A323" s="97">
        <v>2012</v>
      </c>
      <c r="B323" s="98">
        <v>22012</v>
      </c>
      <c r="C323" s="98" t="s">
        <v>197</v>
      </c>
      <c r="D323" s="99">
        <v>206000</v>
      </c>
      <c r="E323" s="99">
        <v>0</v>
      </c>
      <c r="F323" s="99"/>
      <c r="G323" s="99">
        <v>43</v>
      </c>
      <c r="H323" s="99" t="s">
        <v>144</v>
      </c>
      <c r="I323" s="99" t="s">
        <v>216</v>
      </c>
      <c r="J323" s="99" t="s">
        <v>74</v>
      </c>
      <c r="K323" s="99" t="b">
        <v>0</v>
      </c>
      <c r="L323" s="95">
        <v>2016</v>
      </c>
      <c r="M323" s="96">
        <v>0.0461</v>
      </c>
      <c r="N323" s="100">
        <v>41064</v>
      </c>
      <c r="O323" s="100">
        <v>41064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SP1</cp:lastModifiedBy>
  <cp:lastPrinted>2012-06-13T07:24:25Z</cp:lastPrinted>
  <dcterms:created xsi:type="dcterms:W3CDTF">2010-09-17T02:30:46Z</dcterms:created>
  <dcterms:modified xsi:type="dcterms:W3CDTF">2012-06-13T07:25:57Z</dcterms:modified>
  <cp:category/>
  <cp:version/>
  <cp:contentType/>
  <cp:contentStatus/>
</cp:coreProperties>
</file>