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3"/>
  </bookViews>
  <sheets>
    <sheet name="zał_1_WPF" sheetId="1" r:id="rId1"/>
    <sheet name="zał_2_Przedsięwzięcia" sheetId="2" r:id="rId2"/>
    <sheet name="Raport zgodności" sheetId="3" r:id="rId3"/>
    <sheet name="zał_1_WPF (autopoprawki)" sheetId="4" r:id="rId4"/>
  </sheets>
  <externalReferences>
    <externalReference r:id="rId7"/>
  </externalReferences>
  <definedNames>
    <definedName name="_xlnm.Print_Area" localSheetId="0">'zał_1_WPF'!$A$1:$O$91</definedName>
    <definedName name="_xlnm.Print_Area" localSheetId="3">'zał_1_WPF (autopoprawki)'!$A$1:$O$91</definedName>
  </definedNames>
  <calcPr fullCalcOnLoad="1"/>
</workbook>
</file>

<file path=xl/sharedStrings.xml><?xml version="1.0" encoding="utf-8"?>
<sst xmlns="http://schemas.openxmlformats.org/spreadsheetml/2006/main" count="625" uniqueCount="179">
  <si>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</si>
  <si>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</si>
  <si>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</si>
  <si>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</si>
  <si>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</si>
  <si>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</si>
  <si>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</si>
  <si>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</si>
  <si>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</si>
  <si>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</si>
  <si>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</si>
  <si>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</si>
  <si>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</si>
  <si>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</si>
  <si>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</si>
  <si>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</si>
  <si>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</si>
  <si>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</si>
  <si>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</si>
  <si>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</si>
  <si>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</si>
  <si>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</si>
  <si>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</si>
  <si>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</si>
  <si>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</si>
  <si>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</si>
  <si>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</si>
  <si>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</si>
  <si>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</si>
  <si>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</si>
  <si>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</si>
  <si>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</si>
  <si>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</si>
  <si>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</si>
  <si>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</si>
  <si>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</si>
  <si>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</si>
  <si>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</si>
  <si>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</si>
  <si>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</si>
  <si>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</si>
  <si>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</si>
  <si>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</si>
  <si>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</si>
  <si>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</si>
  <si>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</si>
  <si>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</si>
  <si>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</si>
  <si>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</si>
  <si>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</si>
  <si>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</si>
  <si>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</si>
  <si>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</si>
  <si>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</si>
  <si>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</si>
  <si>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</si>
  <si>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</si>
  <si>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</si>
  <si>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</si>
  <si>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</si>
  <si>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</si>
  <si>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</si>
  <si>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</si>
  <si>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</si>
  <si>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</si>
  <si>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</si>
  <si>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</si>
  <si>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</si>
  <si>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</si>
  <si>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</si>
  <si>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</si>
  <si>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</si>
  <si>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</si>
  <si>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</si>
  <si>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</si>
  <si>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</si>
  <si>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</si>
  <si>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</si>
  <si>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</si>
  <si>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</si>
  <si>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</si>
  <si>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</si>
  <si>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</si>
  <si>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</si>
  <si>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</si>
  <si>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</si>
  <si>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</si>
  <si>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</si>
  <si>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</si>
  <si>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</si>
  <si>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</si>
  <si>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</si>
  <si>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</si>
  <si>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</si>
  <si>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</si>
  <si>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</si>
  <si>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</si>
  <si>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</si>
  <si>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</si>
  <si>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</si>
  <si>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</si>
  <si>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</si>
  <si>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</si>
  <si>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</si>
  <si>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</si>
  <si>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</si>
  <si>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</si>
  <si>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</si>
  <si>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</si>
  <si>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</si>
  <si>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</si>
  <si>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</si>
  <si>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</si>
  <si>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</si>
  <si>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</si>
  <si>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</si>
  <si>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</si>
  <si>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</si>
  <si>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</si>
  <si>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</si>
  <si>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</si>
  <si>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</si>
  <si>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</si>
  <si>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</si>
  <si>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</si>
  <si>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</si>
  <si>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</si>
  <si>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</si>
  <si>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</si>
  <si>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</si>
  <si>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</si>
  <si>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</si>
  <si>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</si>
  <si>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</si>
  <si>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</si>
  <si>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</si>
  <si>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</si>
  <si>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</si>
  <si>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</si>
  <si>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</si>
  <si>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</si>
  <si>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</si>
  <si>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</si>
  <si>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</si>
  <si>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</si>
  <si>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</si>
  <si>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</si>
  <si>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</si>
  <si>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</si>
  <si>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</si>
  <si>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</si>
  <si>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</si>
  <si>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>WPF_- od p. Hanus.xls — raport zgodności</t>
  </si>
  <si>
    <t>Uruchom na: 2010-11-11 14:38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</si>
  <si>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</si>
  <si>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</si>
  <si>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</si>
  <si>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</si>
  <si>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</si>
  <si>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</si>
  <si>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</si>
  <si>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</si>
  <si>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</si>
  <si>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</si>
  <si>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</si>
  <si>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</si>
  <si>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</si>
  <si>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 xml:space="preserve">2010 rok              </t>
    </r>
    <r>
      <rPr>
        <sz val="11"/>
        <color indexed="8"/>
        <rFont val="Czcionka tekstu podstawowego"/>
        <family val="0"/>
      </rPr>
      <t xml:space="preserve">p.w.        </t>
    </r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</si>
  <si>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</si>
  <si>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</si>
  <si>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</si>
  <si>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</si>
  <si>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</si>
  <si>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</si>
  <si>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w tym: - wynagrodzenia i składki od nich naliczane</t>
  </si>
  <si>
    <t>Wynagrodzenia i składki od nich naliczane (bez wymienionych w poz.2.2.1 )</t>
  </si>
  <si>
    <t>Wydatki związane z funkcjonowaniem organów j.s.t. (rozdziały 75019 i 75020)</t>
  </si>
  <si>
    <t>Załącznik nr 2 do uchwały nr IV/24/11 Rady Powiatu Jeleniogórskiego z dnia 31 stycznia 2011 roku w sprawie wieloletniej prognozy finansowej Powiatu Jeleniogórskiego na lata 2011 - 2020</t>
  </si>
  <si>
    <t>Załącznik nr 1 do uchwały nr IV/24/11 Rady Powiatu Jeleniogórskiego z dnia 31 stycznia 2011 roku w sprawie wieloletniej prognozy finansowej Powiatu Jeleniogórskiegona lata 2011 - 2020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</si>
</sst>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1"/>
      <color indexed="56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indexed="10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i/>
      <sz val="12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vertical="center" wrapText="1"/>
      <protection/>
    </xf>
    <xf numFmtId="3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 vertical="center" wrapText="1"/>
      <protection/>
    </xf>
    <xf numFmtId="3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/>
    </xf>
    <xf numFmtId="0" fontId="2" fillId="18" borderId="10" xfId="0" applyFont="1" applyFill="1" applyBorder="1" applyAlignment="1" applyProtection="1">
      <alignment horizontal="center" vertical="center" textRotation="90" wrapText="1"/>
      <protection/>
    </xf>
    <xf numFmtId="3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3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 quotePrefix="1">
      <alignment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6" fillId="18" borderId="10" xfId="0" applyFont="1" applyFill="1" applyBorder="1" applyAlignment="1" applyProtection="1">
      <alignment horizontal="center" vertical="center" textRotation="90" wrapText="1"/>
      <protection/>
    </xf>
    <xf numFmtId="3" fontId="6" fillId="18" borderId="10" xfId="0" applyNumberFormat="1" applyFont="1" applyFill="1" applyBorder="1" applyAlignment="1" applyProtection="1">
      <alignment horizontal="center" vertical="center" wrapText="1"/>
      <protection/>
    </xf>
    <xf numFmtId="3" fontId="2" fillId="18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10" fontId="1" fillId="0" borderId="10" xfId="0" applyNumberFormat="1" applyFont="1" applyBorder="1" applyAlignment="1" applyProtection="1">
      <alignment horizontal="center" vertical="center" wrapText="1"/>
      <protection/>
    </xf>
    <xf numFmtId="10" fontId="5" fillId="0" borderId="10" xfId="0" applyNumberFormat="1" applyFont="1" applyBorder="1" applyAlignment="1" applyProtection="1">
      <alignment horizontal="center" vertical="center" wrapText="1"/>
      <protection/>
    </xf>
    <xf numFmtId="10" fontId="1" fillId="0" borderId="16" xfId="0" applyNumberFormat="1" applyFont="1" applyBorder="1" applyAlignment="1" applyProtection="1">
      <alignment horizontal="center" vertical="center" wrapText="1"/>
      <protection/>
    </xf>
    <xf numFmtId="10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10" fontId="1" fillId="0" borderId="0" xfId="0" applyNumberFormat="1" applyFont="1" applyBorder="1" applyAlignment="1" applyProtection="1">
      <alignment horizontal="center" vertical="center" wrapText="1"/>
      <protection/>
    </xf>
    <xf numFmtId="10" fontId="5" fillId="0" borderId="0" xfId="0" applyNumberFormat="1" applyFont="1" applyBorder="1" applyAlignment="1" applyProtection="1">
      <alignment horizontal="center" vertical="center" wrapText="1"/>
      <protection/>
    </xf>
    <xf numFmtId="3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1" fillId="18" borderId="10" xfId="0" applyFont="1" applyFill="1" applyBorder="1" applyAlignment="1" applyProtection="1">
      <alignment horizontal="left" vertical="center" wrapText="1"/>
      <protection/>
    </xf>
    <xf numFmtId="0" fontId="11" fillId="18" borderId="16" xfId="0" applyFont="1" applyFill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vertical="center" wrapText="1"/>
      <protection/>
    </xf>
    <xf numFmtId="3" fontId="6" fillId="32" borderId="18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6" fillId="32" borderId="16" xfId="0" applyFont="1" applyFill="1" applyBorder="1" applyAlignment="1" applyProtection="1">
      <alignment vertical="center" wrapText="1"/>
      <protection/>
    </xf>
    <xf numFmtId="0" fontId="6" fillId="32" borderId="21" xfId="0" applyFont="1" applyFill="1" applyBorder="1" applyAlignment="1" applyProtection="1">
      <alignment vertical="center" wrapText="1"/>
      <protection/>
    </xf>
    <xf numFmtId="0" fontId="6" fillId="32" borderId="17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6" fillId="18" borderId="20" xfId="0" applyFont="1" applyFill="1" applyBorder="1" applyAlignment="1" applyProtection="1">
      <alignment horizontal="center" vertical="center" textRotation="90" wrapText="1"/>
      <protection/>
    </xf>
    <xf numFmtId="0" fontId="6" fillId="18" borderId="19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0" xfId="0" applyFont="1" applyBorder="1" applyAlignment="1" quotePrefix="1">
      <alignment vertical="center" wrapText="1"/>
    </xf>
    <xf numFmtId="0" fontId="6" fillId="0" borderId="10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5KFGY8O3\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Arkusz2"/>
      <sheetName val="Arkusz3"/>
    </sheetNames>
    <sheetDataSet>
      <sheetData sheetId="0">
        <row r="23">
          <cell r="L23">
            <v>63368858.30000001</v>
          </cell>
          <cell r="N23">
            <v>66783234.292500004</v>
          </cell>
          <cell r="P23">
            <v>69909495.54511249</v>
          </cell>
          <cell r="R23">
            <v>73260349.07848182</v>
          </cell>
          <cell r="T23">
            <v>76859388.19289815</v>
          </cell>
          <cell r="V23">
            <v>80733279.18848488</v>
          </cell>
          <cell r="X23">
            <v>84912190.87770328</v>
          </cell>
          <cell r="Z23">
            <v>89430299.24020626</v>
          </cell>
          <cell r="AB23">
            <v>94326354.31401357</v>
          </cell>
        </row>
        <row r="35">
          <cell r="I35">
            <v>7257591</v>
          </cell>
          <cell r="L35">
            <v>7330167</v>
          </cell>
          <cell r="N35">
            <v>7403468.67</v>
          </cell>
          <cell r="P35">
            <v>7588555.38675</v>
          </cell>
          <cell r="R35">
            <v>7778269.271418749</v>
          </cell>
          <cell r="T35">
            <v>7972726.003204218</v>
          </cell>
          <cell r="V35">
            <v>8172044.153284323</v>
          </cell>
          <cell r="X35">
            <v>8376345.257116431</v>
          </cell>
          <cell r="Z35">
            <v>8585753.888544343</v>
          </cell>
          <cell r="AB35">
            <v>8800397.735757953</v>
          </cell>
        </row>
        <row r="36">
          <cell r="L36">
            <v>5233710</v>
          </cell>
          <cell r="N36">
            <v>5286047.1</v>
          </cell>
          <cell r="P36">
            <v>5418198.2775</v>
          </cell>
          <cell r="R36">
            <v>5553653.2344375</v>
          </cell>
          <cell r="T36">
            <v>5692494.565298438</v>
          </cell>
          <cell r="V36">
            <v>5834806.929430899</v>
          </cell>
          <cell r="X36">
            <v>5980677.102666671</v>
          </cell>
          <cell r="Z36">
            <v>6130194.030233338</v>
          </cell>
          <cell r="AB36">
            <v>6283448.880989172</v>
          </cell>
        </row>
        <row r="37">
          <cell r="I37">
            <v>27744732</v>
          </cell>
          <cell r="L37">
            <v>28799031.816</v>
          </cell>
          <cell r="N37">
            <v>29893395.025007997</v>
          </cell>
          <cell r="P37">
            <v>31029344.0359583</v>
          </cell>
          <cell r="R37">
            <v>32208459.109324716</v>
          </cell>
          <cell r="T37">
            <v>33432380.555479053</v>
          </cell>
          <cell r="V37">
            <v>34702811.01658726</v>
          </cell>
          <cell r="X37">
            <v>36021517.83521757</v>
          </cell>
          <cell r="Z37">
            <v>37390335.51295584</v>
          </cell>
          <cell r="AB37">
            <v>38811168.26244816</v>
          </cell>
        </row>
        <row r="38">
          <cell r="I38">
            <v>23939905</v>
          </cell>
          <cell r="L38">
            <v>24538402.625</v>
          </cell>
          <cell r="N38">
            <v>25151862.690625</v>
          </cell>
          <cell r="P38">
            <v>25780659.257890627</v>
          </cell>
          <cell r="R38">
            <v>26425175.73933789</v>
          </cell>
          <cell r="T38">
            <v>27085805.13282134</v>
          </cell>
          <cell r="V38">
            <v>27762950.261141874</v>
          </cell>
          <cell r="X38">
            <v>28457024.017670423</v>
          </cell>
          <cell r="Z38">
            <v>29168449.618112184</v>
          </cell>
          <cell r="AB38">
            <v>29897660.858564988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O1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06" t="s">
        <v>178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30" customHeight="1">
      <c r="A2" s="105" t="s">
        <v>151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1.75" customHeight="1">
      <c r="A3" s="105" t="s">
        <v>71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ht="40.5" customHeight="1">
      <c r="G4" s="53"/>
    </row>
    <row r="5" spans="1:16" s="52" customFormat="1" ht="24.75" customHeight="1">
      <c r="A5" s="104" t="s">
        <v>0</v>
      </c>
      <c r="B5" s="104" t="s">
        <v>1</v>
      </c>
      <c r="C5" s="104" t="s">
        <v>12</v>
      </c>
      <c r="D5" s="104"/>
      <c r="E5" s="104" t="s">
        <v>167</v>
      </c>
      <c r="F5" s="104" t="s">
        <v>15</v>
      </c>
      <c r="G5" s="104" t="s">
        <v>16</v>
      </c>
      <c r="H5" s="104"/>
      <c r="I5" s="104"/>
      <c r="J5" s="104"/>
      <c r="K5" s="104"/>
      <c r="L5" s="104"/>
      <c r="M5" s="104"/>
      <c r="N5" s="104"/>
      <c r="O5" s="104"/>
      <c r="P5" s="54"/>
    </row>
    <row r="6" spans="1:15" s="52" customFormat="1" ht="30" customHeight="1">
      <c r="A6" s="104"/>
      <c r="B6" s="104"/>
      <c r="C6" s="55" t="s">
        <v>13</v>
      </c>
      <c r="D6" s="55" t="s">
        <v>14</v>
      </c>
      <c r="E6" s="104"/>
      <c r="F6" s="104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63540652</v>
      </c>
      <c r="G8" s="9">
        <f t="shared" si="0"/>
        <v>63915807.30000001</v>
      </c>
      <c r="H8" s="9">
        <f t="shared" si="0"/>
        <v>66783234.292500004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59387708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4152944</v>
      </c>
      <c r="G10" s="34">
        <v>546949</v>
      </c>
      <c r="H10" s="34"/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3395944</v>
      </c>
      <c r="G11" s="57">
        <v>546949</v>
      </c>
      <c r="H11" s="57"/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59129849</v>
      </c>
      <c r="G12" s="9">
        <f t="shared" si="1"/>
        <v>60845702.441</v>
      </c>
      <c r="H12" s="9">
        <f t="shared" si="1"/>
        <v>62569734.38563299</v>
      </c>
      <c r="I12" s="9">
        <f t="shared" si="1"/>
        <v>64562437.68059893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f>SUM('[1]Dochody'!$L$35)</f>
        <v>7330167</v>
      </c>
      <c r="H14" s="34">
        <f>SUM('[1]Dochody'!$N$35)</f>
        <v>7403468.67</v>
      </c>
      <c r="I14" s="34">
        <f>SUM('[1]Dochody'!$P$35)</f>
        <v>7588555.38675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f>SUM('[1]Dochody'!$L$36)</f>
        <v>5233710</v>
      </c>
      <c r="H15" s="34">
        <f>SUM('[1]Dochody'!$N$36)</f>
        <v>5286047.1</v>
      </c>
      <c r="I15" s="34">
        <f>SUM('[1]Dochody'!$P$36)</f>
        <v>5418198.2775</v>
      </c>
      <c r="J15" s="34">
        <f>SUM('[1]Dochody'!$R$36)</f>
        <v>5553653.2344375</v>
      </c>
      <c r="K15" s="34">
        <f>SUM('[1]Dochody'!$T$36)</f>
        <v>5692494.565298438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3"/>
      <c r="B17" s="86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8" customFormat="1" ht="27.75" customHeight="1">
      <c r="A18" s="103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3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f>SUM('[1]Dochody'!$I$38)</f>
        <v>23939905</v>
      </c>
      <c r="G20" s="34">
        <f>SUM('[1]Dochody'!$L$38)</f>
        <v>24538402.625</v>
      </c>
      <c r="H20" s="34">
        <f>SUM('[1]Dochody'!$N$38-49982)</f>
        <v>25101880.690625</v>
      </c>
      <c r="I20" s="34">
        <f>SUM('[1]Dochody'!$P$38)</f>
        <v>25780659.257890627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4410803</v>
      </c>
      <c r="G21" s="9">
        <f t="shared" si="3"/>
        <v>3070104.8590000123</v>
      </c>
      <c r="H21" s="9">
        <f t="shared" si="3"/>
        <v>4213499.906867012</v>
      </c>
      <c r="I21" s="9">
        <f t="shared" si="3"/>
        <v>5347057.864513561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3" customFormat="1" ht="57.75" customHeight="1">
      <c r="A22" s="61" t="s">
        <v>135</v>
      </c>
      <c r="B22" s="96" t="s">
        <v>168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257859</v>
      </c>
      <c r="G22" s="62">
        <f t="shared" si="4"/>
        <v>2523155.8590000123</v>
      </c>
      <c r="H22" s="62">
        <f t="shared" si="4"/>
        <v>4213499.906867012</v>
      </c>
      <c r="I22" s="62">
        <f t="shared" si="4"/>
        <v>5347057.864513561</v>
      </c>
      <c r="J22" s="62">
        <f t="shared" si="4"/>
        <v>6691676.958400466</v>
      </c>
      <c r="K22" s="62">
        <f t="shared" si="4"/>
        <v>8292751.501393542</v>
      </c>
      <c r="L22" s="62">
        <f t="shared" si="4"/>
        <v>10095473.757471412</v>
      </c>
      <c r="M22" s="62">
        <f t="shared" si="4"/>
        <v>12057303.767698854</v>
      </c>
      <c r="N22" s="62">
        <f t="shared" si="4"/>
        <v>14285760.220593885</v>
      </c>
      <c r="O22" s="62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2090304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2090304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6501107</v>
      </c>
      <c r="G27" s="9">
        <f t="shared" si="6"/>
        <v>3070104.8590000123</v>
      </c>
      <c r="H27" s="9">
        <f t="shared" si="6"/>
        <v>4213499.906867012</v>
      </c>
      <c r="I27" s="9">
        <f t="shared" si="6"/>
        <v>5347057.864513561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3" customFormat="1" ht="57" customHeight="1">
      <c r="A28" s="61" t="s">
        <v>135</v>
      </c>
      <c r="B28" s="91" t="s">
        <v>169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2348163</v>
      </c>
      <c r="G28" s="64">
        <f t="shared" si="7"/>
        <v>2523155.8590000123</v>
      </c>
      <c r="H28" s="64">
        <f t="shared" si="7"/>
        <v>4213499.906867012</v>
      </c>
      <c r="I28" s="64">
        <f t="shared" si="7"/>
        <v>5347057.864513561</v>
      </c>
      <c r="J28" s="64">
        <f>J9-J12+J23</f>
        <v>6691676.958400466</v>
      </c>
      <c r="K28" s="64">
        <f>K9-K12+K23</f>
        <v>8292751.501393542</v>
      </c>
      <c r="L28" s="64">
        <f>L9-L12+L23</f>
        <v>10095473.757471412</v>
      </c>
      <c r="M28" s="64">
        <f>M9-M12+M23</f>
        <v>12057303.767698854</v>
      </c>
      <c r="N28" s="64">
        <f>N9-N12+N23</f>
        <v>14285760.220593885</v>
      </c>
      <c r="O28" s="64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4570105</v>
      </c>
      <c r="H29" s="9">
        <f t="shared" si="8"/>
        <v>4213500</v>
      </c>
      <c r="I29" s="9">
        <f t="shared" si="8"/>
        <v>4479500</v>
      </c>
      <c r="J29" s="9">
        <f>J30+J36</f>
        <v>4243600</v>
      </c>
      <c r="K29" s="9">
        <f>K30+K36</f>
        <v>3995000</v>
      </c>
      <c r="L29" s="9">
        <f>L30+L36</f>
        <v>1972000</v>
      </c>
      <c r="M29" s="9">
        <f>M30+M36</f>
        <v>2372000</v>
      </c>
      <c r="N29" s="9">
        <f>N30+N36</f>
        <v>2265000</v>
      </c>
      <c r="O29" s="9">
        <f t="shared" si="8"/>
        <v>1671000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1566000</v>
      </c>
      <c r="H30" s="31">
        <f t="shared" si="9"/>
        <v>1165500</v>
      </c>
      <c r="I30" s="31">
        <f t="shared" si="9"/>
        <v>981500</v>
      </c>
      <c r="J30" s="31">
        <f>J31+J32+J34</f>
        <v>795600</v>
      </c>
      <c r="K30" s="31">
        <f>K31+K32+K34</f>
        <v>597000</v>
      </c>
      <c r="L30" s="31">
        <f>L31+L32+L34</f>
        <v>474000</v>
      </c>
      <c r="M30" s="31">
        <f>M31+M32+M34</f>
        <v>374000</v>
      </c>
      <c r="N30" s="31">
        <f>N31+N32+N34</f>
        <v>267000</v>
      </c>
      <c r="O30" s="31">
        <f t="shared" si="9"/>
        <v>171000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1566000</v>
      </c>
      <c r="H31" s="34">
        <v>1165500</v>
      </c>
      <c r="I31" s="34">
        <v>981500</v>
      </c>
      <c r="J31" s="34">
        <v>795600</v>
      </c>
      <c r="K31" s="34">
        <v>597000</v>
      </c>
      <c r="L31" s="34">
        <v>474000</v>
      </c>
      <c r="M31" s="34">
        <v>374000</v>
      </c>
      <c r="N31" s="34">
        <v>267000</v>
      </c>
      <c r="O31" s="34">
        <v>171000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3498000</v>
      </c>
      <c r="J36" s="34">
        <v>3448000</v>
      </c>
      <c r="K36" s="34">
        <v>3398000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170</v>
      </c>
      <c r="C39" s="70">
        <f>C9-C12+C23-C30</f>
        <v>-728525</v>
      </c>
      <c r="D39" s="70">
        <f aca="true" t="shared" si="10" ref="D39:I39">D9-D12+D23-D30</f>
        <v>648249</v>
      </c>
      <c r="E39" s="70">
        <f t="shared" si="10"/>
        <v>2325993</v>
      </c>
      <c r="F39" s="71">
        <f t="shared" si="10"/>
        <v>543163</v>
      </c>
      <c r="G39" s="71">
        <f t="shared" si="10"/>
        <v>957155.8590000123</v>
      </c>
      <c r="H39" s="71">
        <f t="shared" si="10"/>
        <v>3047999.9068670124</v>
      </c>
      <c r="I39" s="71">
        <f t="shared" si="10"/>
        <v>4365557.864513561</v>
      </c>
      <c r="J39" s="71">
        <f aca="true" t="shared" si="11" ref="J39:O39">J9-J12+J23-J30</f>
        <v>5896076.958400466</v>
      </c>
      <c r="K39" s="71">
        <f t="shared" si="11"/>
        <v>7695751.501393542</v>
      </c>
      <c r="L39" s="71">
        <f t="shared" si="11"/>
        <v>9621473.757471412</v>
      </c>
      <c r="M39" s="71">
        <f t="shared" si="11"/>
        <v>11683303.767698854</v>
      </c>
      <c r="N39" s="71">
        <f t="shared" si="11"/>
        <v>14018760.220593885</v>
      </c>
      <c r="O39" s="71">
        <f t="shared" si="11"/>
        <v>16646127.457242459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1673687</v>
      </c>
      <c r="G40" s="9">
        <f>G27-G29-G38</f>
        <v>-1500000.1409999877</v>
      </c>
      <c r="H40" s="9">
        <f>H27-H29-H38</f>
        <v>-0.09313298761844635</v>
      </c>
      <c r="I40" s="9">
        <f>I27-I29-I38</f>
        <v>867557.8645135611</v>
      </c>
      <c r="J40" s="9">
        <f aca="true" t="shared" si="12" ref="J40:O40">J27-J29-J38</f>
        <v>2448076.9584004655</v>
      </c>
      <c r="K40" s="9">
        <f t="shared" si="12"/>
        <v>4297751.501393542</v>
      </c>
      <c r="L40" s="9">
        <f t="shared" si="12"/>
        <v>8123473.757471412</v>
      </c>
      <c r="M40" s="9">
        <f t="shared" si="12"/>
        <v>9685303.767698854</v>
      </c>
      <c r="N40" s="9">
        <f t="shared" si="12"/>
        <v>12020760.220593885</v>
      </c>
      <c r="O40" s="9">
        <f t="shared" si="12"/>
        <v>15146127.457242459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1673687</v>
      </c>
      <c r="G41" s="9">
        <f>G42+G47</f>
        <v>0</v>
      </c>
      <c r="H41" s="9">
        <v>0</v>
      </c>
      <c r="I41" s="9">
        <f aca="true" t="shared" si="13" ref="I41:O41">I42+I47</f>
        <v>867558</v>
      </c>
      <c r="J41" s="9">
        <f t="shared" si="13"/>
        <v>2448077</v>
      </c>
      <c r="K41" s="9">
        <f t="shared" si="13"/>
        <v>4297752</v>
      </c>
      <c r="L41" s="9">
        <f t="shared" si="13"/>
        <v>8123474</v>
      </c>
      <c r="M41" s="9">
        <f t="shared" si="13"/>
        <v>9685304</v>
      </c>
      <c r="N41" s="9">
        <f t="shared" si="13"/>
        <v>12020760</v>
      </c>
      <c r="O41" s="9">
        <f t="shared" si="13"/>
        <v>15146127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4" ref="J42:O42">J43+J45</f>
        <v>0</v>
      </c>
      <c r="K42" s="72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4"/>
        <v>0</v>
      </c>
      <c r="O42" s="72">
        <f t="shared" si="14"/>
        <v>0</v>
      </c>
    </row>
    <row r="43" spans="1:15" ht="31.5" customHeight="1">
      <c r="A43" s="98"/>
      <c r="B43" s="86" t="s">
        <v>172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99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99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97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1673687</v>
      </c>
      <c r="G47" s="57"/>
      <c r="H47" s="57"/>
      <c r="I47" s="57">
        <v>867558</v>
      </c>
      <c r="J47" s="57">
        <v>2448077</v>
      </c>
      <c r="K47" s="57">
        <v>4297752</v>
      </c>
      <c r="L47" s="57">
        <v>8123474</v>
      </c>
      <c r="M47" s="57">
        <v>9685304</v>
      </c>
      <c r="N47" s="57">
        <v>12020760</v>
      </c>
      <c r="O47" s="57">
        <v>15146127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>
        <v>1500000</v>
      </c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5" ref="D50:O50">D40-D41+D48</f>
        <v>5058805</v>
      </c>
      <c r="E50" s="9">
        <f>E40-E41+E48</f>
        <v>2090304</v>
      </c>
      <c r="F50" s="9">
        <f t="shared" si="15"/>
        <v>0</v>
      </c>
      <c r="G50" s="9">
        <f t="shared" si="15"/>
        <v>-0.14099998772144318</v>
      </c>
      <c r="H50" s="9">
        <f t="shared" si="15"/>
        <v>-0.09313298761844635</v>
      </c>
      <c r="I50" s="9">
        <f t="shared" si="15"/>
        <v>-0.13548643887043</v>
      </c>
      <c r="J50" s="9">
        <f t="shared" si="15"/>
        <v>-0.04159953445196152</v>
      </c>
      <c r="K50" s="9">
        <f t="shared" si="15"/>
        <v>-0.49860645830631256</v>
      </c>
      <c r="L50" s="9">
        <f t="shared" si="15"/>
        <v>-0.24252858757972717</v>
      </c>
      <c r="M50" s="9">
        <f t="shared" si="15"/>
        <v>-0.23230114579200745</v>
      </c>
      <c r="N50" s="9">
        <f t="shared" si="15"/>
        <v>0.2205938845872879</v>
      </c>
      <c r="O50" s="9">
        <f t="shared" si="15"/>
        <v>0.4572424590587616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10" t="s">
        <v>72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6" s="52" customFormat="1" ht="24.75" customHeight="1">
      <c r="A53" s="97" t="s">
        <v>0</v>
      </c>
      <c r="B53" s="97" t="s">
        <v>1</v>
      </c>
      <c r="C53" s="97" t="s">
        <v>12</v>
      </c>
      <c r="D53" s="97"/>
      <c r="E53" s="97" t="s">
        <v>158</v>
      </c>
      <c r="F53" s="97" t="s">
        <v>15</v>
      </c>
      <c r="G53" s="97" t="s">
        <v>16</v>
      </c>
      <c r="H53" s="97"/>
      <c r="I53" s="97"/>
      <c r="J53" s="97"/>
      <c r="K53" s="97"/>
      <c r="L53" s="97"/>
      <c r="M53" s="97"/>
      <c r="N53" s="97"/>
      <c r="O53" s="97"/>
      <c r="P53" s="54"/>
    </row>
    <row r="54" spans="1:15" s="52" customFormat="1" ht="30" customHeight="1">
      <c r="A54" s="104"/>
      <c r="B54" s="104"/>
      <c r="C54" s="55" t="s">
        <v>13</v>
      </c>
      <c r="D54" s="55" t="s">
        <v>14</v>
      </c>
      <c r="E54" s="104"/>
      <c r="F54" s="104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6" ref="D56:O56">C56+D48-D58</f>
        <v>27754944.81</v>
      </c>
      <c r="E56" s="9">
        <f t="shared" si="16"/>
        <v>24912524.81</v>
      </c>
      <c r="F56" s="9">
        <f t="shared" si="16"/>
        <v>21890104.81</v>
      </c>
      <c r="G56" s="9">
        <f t="shared" si="16"/>
        <v>20385999.81</v>
      </c>
      <c r="H56" s="9">
        <f t="shared" si="16"/>
        <v>17337999.81</v>
      </c>
      <c r="I56" s="9">
        <f t="shared" si="16"/>
        <v>13839999.809999999</v>
      </c>
      <c r="J56" s="9">
        <f t="shared" si="16"/>
        <v>10391999.809999999</v>
      </c>
      <c r="K56" s="9">
        <f t="shared" si="16"/>
        <v>6993999.809999999</v>
      </c>
      <c r="L56" s="9">
        <f t="shared" si="16"/>
        <v>5495999.809999999</v>
      </c>
      <c r="M56" s="9">
        <f t="shared" si="16"/>
        <v>3497999.8099999987</v>
      </c>
      <c r="N56" s="9">
        <f t="shared" si="16"/>
        <v>1499999.8099999987</v>
      </c>
      <c r="O56" s="9">
        <f t="shared" si="16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aca="true" t="shared" si="17" ref="E57:O57">D57+E49-E59</f>
        <v>0</v>
      </c>
      <c r="F57" s="75">
        <f t="shared" si="17"/>
        <v>0</v>
      </c>
      <c r="G57" s="75">
        <f t="shared" si="17"/>
        <v>0</v>
      </c>
      <c r="H57" s="75">
        <f t="shared" si="17"/>
        <v>0</v>
      </c>
      <c r="I57" s="75">
        <f t="shared" si="17"/>
        <v>0</v>
      </c>
      <c r="J57" s="75">
        <f t="shared" si="17"/>
        <v>0</v>
      </c>
      <c r="K57" s="75">
        <f t="shared" si="17"/>
        <v>0</v>
      </c>
      <c r="L57" s="75">
        <f t="shared" si="17"/>
        <v>0</v>
      </c>
      <c r="M57" s="75">
        <f t="shared" si="17"/>
        <v>0</v>
      </c>
      <c r="N57" s="75">
        <f t="shared" si="17"/>
        <v>0</v>
      </c>
      <c r="O57" s="75">
        <f t="shared" si="17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8" ref="D58:I58">D36</f>
        <v>3252819</v>
      </c>
      <c r="E58" s="9">
        <f t="shared" si="18"/>
        <v>2842420</v>
      </c>
      <c r="F58" s="9">
        <f t="shared" si="18"/>
        <v>3022420</v>
      </c>
      <c r="G58" s="9">
        <f t="shared" si="18"/>
        <v>3004105</v>
      </c>
      <c r="H58" s="9">
        <f t="shared" si="18"/>
        <v>3048000</v>
      </c>
      <c r="I58" s="9">
        <f t="shared" si="18"/>
        <v>3498000</v>
      </c>
      <c r="J58" s="9">
        <f aca="true" t="shared" si="19" ref="J58:O58">J36</f>
        <v>3448000</v>
      </c>
      <c r="K58" s="9">
        <f t="shared" si="19"/>
        <v>3398000</v>
      </c>
      <c r="L58" s="9">
        <f t="shared" si="19"/>
        <v>1498000</v>
      </c>
      <c r="M58" s="9">
        <f t="shared" si="19"/>
        <v>1998000</v>
      </c>
      <c r="N58" s="9">
        <f t="shared" si="19"/>
        <v>1998000</v>
      </c>
      <c r="O58" s="9">
        <f t="shared" si="19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aca="true" t="shared" si="20" ref="D59:I59">D37</f>
        <v>926839</v>
      </c>
      <c r="E59" s="75">
        <f t="shared" si="20"/>
        <v>0</v>
      </c>
      <c r="F59" s="75">
        <f t="shared" si="20"/>
        <v>0</v>
      </c>
      <c r="G59" s="75">
        <f t="shared" si="20"/>
        <v>0</v>
      </c>
      <c r="H59" s="75">
        <f t="shared" si="20"/>
        <v>0</v>
      </c>
      <c r="I59" s="75">
        <f t="shared" si="20"/>
        <v>0</v>
      </c>
      <c r="J59" s="75">
        <f aca="true" t="shared" si="21" ref="J59:O59">J37</f>
        <v>0</v>
      </c>
      <c r="K59" s="75">
        <f t="shared" si="21"/>
        <v>0</v>
      </c>
      <c r="L59" s="75">
        <f t="shared" si="21"/>
        <v>0</v>
      </c>
      <c r="M59" s="75">
        <f t="shared" si="21"/>
        <v>0</v>
      </c>
      <c r="N59" s="75">
        <f t="shared" si="21"/>
        <v>0</v>
      </c>
      <c r="O59" s="75">
        <f t="shared" si="21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22" ref="D60:I60">D61+D62+D63+D64</f>
        <v>513950</v>
      </c>
      <c r="E60" s="9">
        <f t="shared" si="22"/>
        <v>2718756</v>
      </c>
      <c r="F60" s="9">
        <f t="shared" si="22"/>
        <v>543163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aca="true" t="shared" si="23" ref="J60:O60">J61+J62+J63+J64</f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</row>
    <row r="61" spans="1:15" ht="42.75" customHeight="1">
      <c r="A61" s="98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99"/>
      <c r="B62" s="65" t="s">
        <v>11</v>
      </c>
      <c r="C62" s="57"/>
      <c r="D62" s="57"/>
      <c r="E62" s="57">
        <v>2718756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99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97"/>
      <c r="B64" s="65" t="s">
        <v>76</v>
      </c>
      <c r="C64" s="57">
        <v>392660</v>
      </c>
      <c r="D64" s="57">
        <v>513950</v>
      </c>
      <c r="E64" s="57"/>
      <c r="F64" s="57">
        <v>543163</v>
      </c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00" t="s">
        <v>23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</row>
    <row r="70" spans="1:15" ht="41.25" customHeight="1">
      <c r="A70" s="55" t="s">
        <v>105</v>
      </c>
      <c r="B70" s="56" t="s">
        <v>34</v>
      </c>
      <c r="C70" s="77">
        <f aca="true" t="shared" si="24" ref="C70:H70">C29/C8</f>
        <v>0.09865223507663158</v>
      </c>
      <c r="D70" s="77">
        <f t="shared" si="24"/>
        <v>0.0826559864038533</v>
      </c>
      <c r="E70" s="77">
        <f t="shared" si="24"/>
        <v>0.06103554854547043</v>
      </c>
      <c r="F70" s="77">
        <f t="shared" si="24"/>
        <v>0.07597372466370034</v>
      </c>
      <c r="G70" s="77">
        <f t="shared" si="24"/>
        <v>0.07150195222520485</v>
      </c>
      <c r="H70" s="77">
        <f t="shared" si="24"/>
        <v>0.06309218241131503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25" ref="C71:H71">(C29-C33-C35-C37)/C8</f>
        <v>0.08109375936283388</v>
      </c>
      <c r="D71" s="78">
        <f t="shared" si="25"/>
        <v>0.06680336497241807</v>
      </c>
      <c r="E71" s="78">
        <f t="shared" si="25"/>
        <v>0.06103554854547043</v>
      </c>
      <c r="F71" s="78">
        <f t="shared" si="25"/>
        <v>0.07597372466370034</v>
      </c>
      <c r="G71" s="78">
        <f t="shared" si="25"/>
        <v>0.07150195222520485</v>
      </c>
      <c r="H71" s="78">
        <f t="shared" si="25"/>
        <v>0.06309218241131503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6" ref="C72:H72">C56/C8</f>
        <v>0.47239793315672013</v>
      </c>
      <c r="D72" s="77">
        <f t="shared" si="26"/>
        <v>0.4747195930720528</v>
      </c>
      <c r="E72" s="77">
        <f t="shared" si="26"/>
        <v>0.35016180319522094</v>
      </c>
      <c r="F72" s="77">
        <f t="shared" si="26"/>
        <v>0.3445055113693199</v>
      </c>
      <c r="G72" s="77">
        <f t="shared" si="26"/>
        <v>0.31895083033708305</v>
      </c>
      <c r="H72" s="77">
        <f t="shared" si="26"/>
        <v>0.25961605474305577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173</v>
      </c>
      <c r="C73" s="78">
        <f aca="true" t="shared" si="27" ref="C73:H73">(C56-C57)/C8</f>
        <v>0.45556308218038616</v>
      </c>
      <c r="D73" s="78">
        <f t="shared" si="27"/>
        <v>0.4747195930720528</v>
      </c>
      <c r="E73" s="78">
        <f t="shared" si="27"/>
        <v>0.35016180319522094</v>
      </c>
      <c r="F73" s="78">
        <f t="shared" si="27"/>
        <v>0.3445055113693199</v>
      </c>
      <c r="G73" s="78">
        <f t="shared" si="27"/>
        <v>0.31895083033708305</v>
      </c>
      <c r="H73" s="78">
        <f t="shared" si="27"/>
        <v>0.25961605474305577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8" ref="C74:O74">(C9+C11-C12-C30)/C8</f>
        <v>-0.04191459927575043</v>
      </c>
      <c r="D74" s="77">
        <f t="shared" si="28"/>
        <v>-0.035757890439425996</v>
      </c>
      <c r="E74" s="77">
        <f t="shared" si="28"/>
        <v>0.037423583631528694</v>
      </c>
      <c r="F74" s="77">
        <f t="shared" si="28"/>
        <v>0.029096380691844333</v>
      </c>
      <c r="G74" s="77">
        <f t="shared" si="28"/>
        <v>0.023532595809049758</v>
      </c>
      <c r="H74" s="77">
        <f t="shared" si="28"/>
        <v>0.045640196063539765</v>
      </c>
      <c r="I74" s="77">
        <f t="shared" si="28"/>
        <v>0.062445849887394385</v>
      </c>
      <c r="J74" s="77">
        <f>(J9+J11-J12-J30)/J8</f>
        <v>0.08048114747698183</v>
      </c>
      <c r="K74" s="77">
        <f>(K9+K11-K12-K30)/K8</f>
        <v>0.10012767057264493</v>
      </c>
      <c r="L74" s="77">
        <f>(L9+L11-L12-L30)/L8</f>
        <v>0.11917605545302487</v>
      </c>
      <c r="M74" s="77">
        <f>(M9+M11-M12-M30)/M8</f>
        <v>0.1375927725681463</v>
      </c>
      <c r="N74" s="77">
        <f>(N9+N11-N12-N30)/N8</f>
        <v>0.15675627096964137</v>
      </c>
      <c r="O74" s="77">
        <f t="shared" si="28"/>
        <v>0.17647377107173357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9" ref="F75:N75">(C74+D74+E74)/3</f>
        <v>-0.013416302027882578</v>
      </c>
      <c r="G75" s="80">
        <f t="shared" si="29"/>
        <v>0.010254024627982344</v>
      </c>
      <c r="H75" s="77">
        <f t="shared" si="29"/>
        <v>0.03001752004414093</v>
      </c>
      <c r="I75" s="77">
        <f t="shared" si="29"/>
        <v>0.03275639085481128</v>
      </c>
      <c r="J75" s="77">
        <f t="shared" si="29"/>
        <v>0.043872880586661306</v>
      </c>
      <c r="K75" s="77">
        <f t="shared" si="29"/>
        <v>0.06285573114263866</v>
      </c>
      <c r="L75" s="77">
        <f t="shared" si="29"/>
        <v>0.08101822264567372</v>
      </c>
      <c r="M75" s="77">
        <f t="shared" si="29"/>
        <v>0.09992829116755053</v>
      </c>
      <c r="N75" s="77">
        <f t="shared" si="29"/>
        <v>0.11896549953127204</v>
      </c>
      <c r="O75" s="77">
        <f>(G74+H74+I74)/3</f>
        <v>0.043872880586661306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30" ref="F76:O76">F29/F8</f>
        <v>0.07597372466370034</v>
      </c>
      <c r="G76" s="77">
        <f t="shared" si="30"/>
        <v>0.07150195222520485</v>
      </c>
      <c r="H76" s="77">
        <f t="shared" si="30"/>
        <v>0.06309218241131503</v>
      </c>
      <c r="I76" s="77">
        <f t="shared" si="30"/>
        <v>0.06407570194966412</v>
      </c>
      <c r="J76" s="77">
        <f t="shared" si="30"/>
        <v>0.05792492191722901</v>
      </c>
      <c r="K76" s="77">
        <f t="shared" si="30"/>
        <v>0.0519780353959302</v>
      </c>
      <c r="L76" s="77">
        <f t="shared" si="30"/>
        <v>0.024426110518762003</v>
      </c>
      <c r="M76" s="77">
        <f t="shared" si="30"/>
        <v>0.027934740294433425</v>
      </c>
      <c r="N76" s="77">
        <f t="shared" si="30"/>
        <v>0.025326986706332037</v>
      </c>
      <c r="O76" s="77">
        <f t="shared" si="30"/>
        <v>0.017715091526141473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31" ref="F77:O77">(F29-F33-F35-F37)/F8</f>
        <v>0.07597372466370034</v>
      </c>
      <c r="G77" s="78">
        <f t="shared" si="31"/>
        <v>0.07150195222520485</v>
      </c>
      <c r="H77" s="78">
        <f t="shared" si="31"/>
        <v>0.06309218241131503</v>
      </c>
      <c r="I77" s="78">
        <f t="shared" si="31"/>
        <v>0.06407570194966412</v>
      </c>
      <c r="J77" s="78">
        <f t="shared" si="31"/>
        <v>0.05792492191722901</v>
      </c>
      <c r="K77" s="78">
        <f t="shared" si="31"/>
        <v>0.0519780353959302</v>
      </c>
      <c r="L77" s="78">
        <f t="shared" si="31"/>
        <v>0.024426110518762003</v>
      </c>
      <c r="M77" s="78">
        <f t="shared" si="31"/>
        <v>0.027934740294433425</v>
      </c>
      <c r="N77" s="78">
        <f t="shared" si="31"/>
        <v>0.025326986706332037</v>
      </c>
      <c r="O77" s="78">
        <f t="shared" si="31"/>
        <v>0.017715091526141473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10" t="s">
        <v>138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</row>
    <row r="81" spans="1:16" s="52" customFormat="1" ht="24.75" customHeight="1">
      <c r="A81" s="104" t="s">
        <v>0</v>
      </c>
      <c r="B81" s="104" t="s">
        <v>1</v>
      </c>
      <c r="C81" s="104" t="s">
        <v>12</v>
      </c>
      <c r="D81" s="104"/>
      <c r="E81" s="104" t="s">
        <v>159</v>
      </c>
      <c r="F81" s="104" t="s">
        <v>15</v>
      </c>
      <c r="G81" s="104" t="s">
        <v>16</v>
      </c>
      <c r="H81" s="104"/>
      <c r="I81" s="104"/>
      <c r="J81" s="104"/>
      <c r="K81" s="104"/>
      <c r="L81" s="104"/>
      <c r="M81" s="104"/>
      <c r="N81" s="104"/>
      <c r="O81" s="104"/>
      <c r="P81" s="54"/>
    </row>
    <row r="82" spans="1:15" s="52" customFormat="1" ht="30" customHeight="1">
      <c r="A82" s="104"/>
      <c r="B82" s="104"/>
      <c r="C82" s="55" t="s">
        <v>13</v>
      </c>
      <c r="D82" s="55" t="s">
        <v>14</v>
      </c>
      <c r="E82" s="104"/>
      <c r="F82" s="104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32" ref="D84:I84">D8</f>
        <v>58465977</v>
      </c>
      <c r="E84" s="31">
        <f t="shared" si="32"/>
        <v>71145752</v>
      </c>
      <c r="F84" s="31">
        <f t="shared" si="32"/>
        <v>63540652</v>
      </c>
      <c r="G84" s="31">
        <f t="shared" si="32"/>
        <v>63915807.30000001</v>
      </c>
      <c r="H84" s="31">
        <f t="shared" si="32"/>
        <v>66783234.292500004</v>
      </c>
      <c r="I84" s="31">
        <f t="shared" si="32"/>
        <v>69909495.54511249</v>
      </c>
      <c r="J84" s="31">
        <f aca="true" t="shared" si="33" ref="J84:O84">J8</f>
        <v>73260349.07848182</v>
      </c>
      <c r="K84" s="31">
        <f t="shared" si="33"/>
        <v>76859388.19289815</v>
      </c>
      <c r="L84" s="31">
        <f t="shared" si="33"/>
        <v>80733279.18848488</v>
      </c>
      <c r="M84" s="31">
        <f t="shared" si="33"/>
        <v>84912190.87770328</v>
      </c>
      <c r="N84" s="31">
        <f t="shared" si="33"/>
        <v>89430299.24020626</v>
      </c>
      <c r="O84" s="31">
        <f t="shared" si="33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34" ref="C85:I85">C12+C30+C41</f>
        <v>58297962</v>
      </c>
      <c r="D85" s="31">
        <f t="shared" si="34"/>
        <v>59986916</v>
      </c>
      <c r="E85" s="31">
        <f t="shared" si="34"/>
        <v>69178139</v>
      </c>
      <c r="F85" s="31">
        <f t="shared" si="34"/>
        <v>62608536</v>
      </c>
      <c r="G85" s="31">
        <f t="shared" si="34"/>
        <v>62411702.441</v>
      </c>
      <c r="H85" s="31">
        <f t="shared" si="34"/>
        <v>63735234.38563299</v>
      </c>
      <c r="I85" s="31">
        <f t="shared" si="34"/>
        <v>66411495.68059893</v>
      </c>
      <c r="J85" s="31">
        <f aca="true" t="shared" si="35" ref="J85:O85">J12+J30+J41</f>
        <v>69812349.12008137</v>
      </c>
      <c r="K85" s="31">
        <f t="shared" si="35"/>
        <v>73461388.69150461</v>
      </c>
      <c r="L85" s="31">
        <f t="shared" si="35"/>
        <v>79235279.43101346</v>
      </c>
      <c r="M85" s="31">
        <f t="shared" si="35"/>
        <v>82914191.11000443</v>
      </c>
      <c r="N85" s="31">
        <f t="shared" si="35"/>
        <v>87432299.01961237</v>
      </c>
      <c r="O85" s="31">
        <f t="shared" si="35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36" ref="J86:O86">J16+J34+J42</f>
        <v>156768</v>
      </c>
      <c r="K86" s="31">
        <f t="shared" si="36"/>
        <v>75725</v>
      </c>
      <c r="L86" s="31">
        <f t="shared" si="36"/>
        <v>0</v>
      </c>
      <c r="M86" s="31">
        <f t="shared" si="36"/>
        <v>0</v>
      </c>
      <c r="N86" s="31">
        <f t="shared" si="36"/>
        <v>0</v>
      </c>
      <c r="O86" s="31">
        <f t="shared" si="36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37" ref="C87:I87">C8-C85</f>
        <v>-3243183</v>
      </c>
      <c r="D87" s="31">
        <f t="shared" si="37"/>
        <v>-1520939</v>
      </c>
      <c r="E87" s="31">
        <f t="shared" si="37"/>
        <v>1967613</v>
      </c>
      <c r="F87" s="31">
        <f t="shared" si="37"/>
        <v>932116</v>
      </c>
      <c r="G87" s="31">
        <f t="shared" si="37"/>
        <v>1504104.8590000123</v>
      </c>
      <c r="H87" s="31">
        <f t="shared" si="37"/>
        <v>3047999.9068670124</v>
      </c>
      <c r="I87" s="31">
        <f t="shared" si="37"/>
        <v>3497999.864513561</v>
      </c>
      <c r="J87" s="31">
        <f aca="true" t="shared" si="38" ref="J87:O87">J8-J85</f>
        <v>3447999.958400458</v>
      </c>
      <c r="K87" s="31">
        <f t="shared" si="38"/>
        <v>3397999.5013935417</v>
      </c>
      <c r="L87" s="31">
        <f t="shared" si="38"/>
        <v>1497999.7574714124</v>
      </c>
      <c r="M87" s="31">
        <f t="shared" si="38"/>
        <v>1997999.7676988542</v>
      </c>
      <c r="N87" s="31">
        <f t="shared" si="38"/>
        <v>1998000.2205938846</v>
      </c>
      <c r="O87" s="31">
        <f t="shared" si="38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9" ref="C88:I88">C23+C48</f>
        <v>10244711</v>
      </c>
      <c r="D88" s="31">
        <f t="shared" si="39"/>
        <v>7738869</v>
      </c>
      <c r="E88" s="31">
        <f t="shared" si="39"/>
        <v>2965111</v>
      </c>
      <c r="F88" s="31">
        <f t="shared" si="39"/>
        <v>2090304</v>
      </c>
      <c r="G88" s="31">
        <f t="shared" si="39"/>
        <v>1500000</v>
      </c>
      <c r="H88" s="31">
        <f t="shared" si="39"/>
        <v>0</v>
      </c>
      <c r="I88" s="31">
        <f t="shared" si="39"/>
        <v>0</v>
      </c>
      <c r="J88" s="31">
        <f aca="true" t="shared" si="40" ref="J88:O88">J23+J48</f>
        <v>0</v>
      </c>
      <c r="K88" s="31">
        <f t="shared" si="40"/>
        <v>0</v>
      </c>
      <c r="L88" s="31">
        <f t="shared" si="40"/>
        <v>0</v>
      </c>
      <c r="M88" s="31">
        <f t="shared" si="40"/>
        <v>0</v>
      </c>
      <c r="N88" s="31">
        <f t="shared" si="40"/>
        <v>0</v>
      </c>
      <c r="O88" s="31">
        <f t="shared" si="4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41" ref="D89:I89">D36+D38</f>
        <v>3252819</v>
      </c>
      <c r="E89" s="31">
        <f t="shared" si="41"/>
        <v>2842420</v>
      </c>
      <c r="F89" s="31">
        <f t="shared" si="41"/>
        <v>3022420</v>
      </c>
      <c r="G89" s="31">
        <f t="shared" si="41"/>
        <v>3004105</v>
      </c>
      <c r="H89" s="31">
        <f t="shared" si="41"/>
        <v>3048000</v>
      </c>
      <c r="I89" s="31">
        <f t="shared" si="41"/>
        <v>3498000</v>
      </c>
      <c r="J89" s="31">
        <f aca="true" t="shared" si="42" ref="J89:O89">J36+J38</f>
        <v>3448000</v>
      </c>
      <c r="K89" s="31">
        <f t="shared" si="42"/>
        <v>3398000</v>
      </c>
      <c r="L89" s="31">
        <f t="shared" si="42"/>
        <v>1498000</v>
      </c>
      <c r="M89" s="31">
        <f t="shared" si="42"/>
        <v>1998000</v>
      </c>
      <c r="N89" s="31">
        <f t="shared" si="42"/>
        <v>1998000</v>
      </c>
      <c r="O89" s="31">
        <f t="shared" si="42"/>
        <v>1500000</v>
      </c>
    </row>
    <row r="90" spans="1:15" s="35" customFormat="1" ht="50.25" customHeight="1">
      <c r="A90" s="108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0</v>
      </c>
      <c r="G90" s="71">
        <f>G8-G85+G88-G89</f>
        <v>-0.14099998772144318</v>
      </c>
      <c r="H90" s="71">
        <f>H8-H85+H88-H89</f>
        <v>-0.09313298761844635</v>
      </c>
      <c r="I90" s="71">
        <f>I8-I85+I88-I89</f>
        <v>-0.13548643887043</v>
      </c>
      <c r="J90" s="71">
        <f aca="true" t="shared" si="43" ref="J90:O90">J8-J85+J88-J89</f>
        <v>-0.041599541902542114</v>
      </c>
      <c r="K90" s="71">
        <f t="shared" si="43"/>
        <v>-0.49860645830631256</v>
      </c>
      <c r="L90" s="71">
        <f t="shared" si="43"/>
        <v>-0.24252858757972717</v>
      </c>
      <c r="M90" s="71">
        <f t="shared" si="43"/>
        <v>-0.23230114579200745</v>
      </c>
      <c r="N90" s="71">
        <f t="shared" si="43"/>
        <v>0.2205938845872879</v>
      </c>
      <c r="O90" s="71">
        <f t="shared" si="43"/>
        <v>0.4572424590587616</v>
      </c>
    </row>
    <row r="91" spans="1:15" s="35" customFormat="1" ht="58.5" customHeight="1">
      <c r="A91" s="109"/>
      <c r="B91" s="92" t="s">
        <v>171</v>
      </c>
      <c r="C91" s="70">
        <f>C9-C12-C30+C24+C25</f>
        <v>-728525</v>
      </c>
      <c r="D91" s="70">
        <f aca="true" t="shared" si="44" ref="D91:I91">D9-D12-D30+D24+D25</f>
        <v>648249</v>
      </c>
      <c r="E91" s="70">
        <f t="shared" si="44"/>
        <v>2325993</v>
      </c>
      <c r="F91" s="85">
        <f t="shared" si="44"/>
        <v>543163</v>
      </c>
      <c r="G91" s="85">
        <f t="shared" si="44"/>
        <v>957155.8590000123</v>
      </c>
      <c r="H91" s="85">
        <f t="shared" si="44"/>
        <v>3047999.9068670124</v>
      </c>
      <c r="I91" s="85">
        <f t="shared" si="44"/>
        <v>4365557.864513561</v>
      </c>
      <c r="J91" s="85">
        <f aca="true" t="shared" si="45" ref="J91:O91">J9-J12-J30+J24+J25</f>
        <v>5896076.958400466</v>
      </c>
      <c r="K91" s="85">
        <f t="shared" si="45"/>
        <v>7695751.501393542</v>
      </c>
      <c r="L91" s="85">
        <f t="shared" si="45"/>
        <v>9621473.757471412</v>
      </c>
      <c r="M91" s="85">
        <f t="shared" si="45"/>
        <v>11683303.767698854</v>
      </c>
      <c r="N91" s="85">
        <f t="shared" si="45"/>
        <v>14018760.220593885</v>
      </c>
      <c r="O91" s="85">
        <f t="shared" si="45"/>
        <v>16646127.457242459</v>
      </c>
    </row>
  </sheetData>
  <sheetProtection/>
  <mergeCells count="28">
    <mergeCell ref="A90:A91"/>
    <mergeCell ref="A52:O52"/>
    <mergeCell ref="E81:E82"/>
    <mergeCell ref="F81:F82"/>
    <mergeCell ref="G81:O81"/>
    <mergeCell ref="A80:O80"/>
    <mergeCell ref="F53:F54"/>
    <mergeCell ref="G53:O53"/>
    <mergeCell ref="E53:E54"/>
    <mergeCell ref="C81:D81"/>
    <mergeCell ref="A3:O3"/>
    <mergeCell ref="A2:O2"/>
    <mergeCell ref="A1:O1"/>
    <mergeCell ref="C5:D5"/>
    <mergeCell ref="A5:A6"/>
    <mergeCell ref="B5:B6"/>
    <mergeCell ref="E5:E6"/>
    <mergeCell ref="F5:F6"/>
    <mergeCell ref="G5:O5"/>
    <mergeCell ref="C53:D53"/>
    <mergeCell ref="A43:A46"/>
    <mergeCell ref="B69:O69"/>
    <mergeCell ref="A17:A19"/>
    <mergeCell ref="A61:A64"/>
    <mergeCell ref="A81:A82"/>
    <mergeCell ref="B81:B82"/>
    <mergeCell ref="A53:A54"/>
    <mergeCell ref="B53:B54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A1" sqref="A1:S1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5">
      <c r="A1" s="120" t="s">
        <v>177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38.25" customHeight="1">
      <c r="A2" s="119" t="s">
        <v>161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ht="15" customHeight="1"/>
    <row r="4" spans="1:19" s="2" customFormat="1" ht="36.75" customHeight="1">
      <c r="A4" s="127" t="s">
        <v>0</v>
      </c>
      <c r="B4" s="111" t="s">
        <v>1</v>
      </c>
      <c r="C4" s="112"/>
      <c r="D4" s="113"/>
      <c r="E4" s="121" t="s">
        <v>119</v>
      </c>
      <c r="F4" s="123" t="s">
        <v>120</v>
      </c>
      <c r="G4" s="124"/>
      <c r="H4" s="125" t="s">
        <v>122</v>
      </c>
      <c r="I4" s="111" t="s">
        <v>121</v>
      </c>
      <c r="J4" s="112"/>
      <c r="K4" s="112"/>
      <c r="L4" s="112"/>
      <c r="M4" s="112"/>
      <c r="N4" s="112"/>
      <c r="O4" s="112"/>
      <c r="P4" s="112"/>
      <c r="Q4" s="112"/>
      <c r="R4" s="113"/>
      <c r="S4" s="127" t="s">
        <v>125</v>
      </c>
    </row>
    <row r="5" spans="1:19" s="2" customFormat="1" ht="30" customHeight="1">
      <c r="A5" s="128"/>
      <c r="B5" s="114"/>
      <c r="C5" s="115"/>
      <c r="D5" s="116"/>
      <c r="E5" s="122"/>
      <c r="F5" s="13" t="s">
        <v>123</v>
      </c>
      <c r="G5" s="13" t="s">
        <v>124</v>
      </c>
      <c r="H5" s="126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28"/>
    </row>
    <row r="6" spans="1:19" s="12" customFormat="1" ht="12">
      <c r="A6" s="14">
        <v>1</v>
      </c>
      <c r="B6" s="117">
        <v>2</v>
      </c>
      <c r="C6" s="117"/>
      <c r="D6" s="117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118" t="s">
        <v>126</v>
      </c>
      <c r="C7" s="118"/>
      <c r="D7" s="118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187621</v>
      </c>
      <c r="J7" s="17">
        <f t="shared" si="0"/>
        <v>178101</v>
      </c>
      <c r="K7" s="17">
        <f t="shared" si="0"/>
        <v>170990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933084</v>
      </c>
    </row>
    <row r="8" spans="1:19" s="5" customFormat="1" ht="21" customHeight="1">
      <c r="A8" s="15" t="s">
        <v>35</v>
      </c>
      <c r="B8" s="129" t="s">
        <v>80</v>
      </c>
      <c r="C8" s="129"/>
      <c r="D8" s="129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187621</v>
      </c>
      <c r="J8" s="17">
        <f t="shared" si="1"/>
        <v>178101</v>
      </c>
      <c r="K8" s="17">
        <f t="shared" si="1"/>
        <v>170990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933084</v>
      </c>
    </row>
    <row r="9" spans="1:19" s="5" customFormat="1" ht="21" customHeight="1">
      <c r="A9" s="15" t="s">
        <v>36</v>
      </c>
      <c r="B9" s="129" t="s">
        <v>81</v>
      </c>
      <c r="C9" s="129"/>
      <c r="D9" s="129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31"/>
      <c r="B10" s="134" t="s">
        <v>82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/>
    </row>
    <row r="11" spans="1:19" s="4" customFormat="1" ht="45.75" customHeight="1">
      <c r="A11" s="132"/>
      <c r="B11" s="138" t="s">
        <v>83</v>
      </c>
      <c r="C11" s="130" t="s">
        <v>86</v>
      </c>
      <c r="D11" s="130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0</v>
      </c>
    </row>
    <row r="12" spans="1:19" s="5" customFormat="1" ht="18.75" customHeight="1">
      <c r="A12" s="132"/>
      <c r="B12" s="138"/>
      <c r="C12" s="129" t="s">
        <v>80</v>
      </c>
      <c r="D12" s="129"/>
      <c r="E12" s="21" t="s">
        <v>24</v>
      </c>
      <c r="F12" s="21" t="s">
        <v>24</v>
      </c>
      <c r="G12" s="21" t="s">
        <v>24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132"/>
      <c r="B13" s="138"/>
      <c r="C13" s="129" t="s">
        <v>81</v>
      </c>
      <c r="D13" s="129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32"/>
      <c r="B14" s="138" t="s">
        <v>85</v>
      </c>
      <c r="C14" s="130" t="s">
        <v>88</v>
      </c>
      <c r="D14" s="130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32"/>
      <c r="B15" s="138"/>
      <c r="C15" s="129" t="s">
        <v>80</v>
      </c>
      <c r="D15" s="129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32"/>
      <c r="B16" s="138"/>
      <c r="C16" s="129" t="s">
        <v>81</v>
      </c>
      <c r="D16" s="129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32"/>
      <c r="B17" s="138" t="s">
        <v>87</v>
      </c>
      <c r="C17" s="130" t="s">
        <v>130</v>
      </c>
      <c r="D17" s="130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132"/>
      <c r="B18" s="138"/>
      <c r="C18" s="129" t="s">
        <v>80</v>
      </c>
      <c r="D18" s="129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132"/>
      <c r="B19" s="138"/>
      <c r="C19" s="129" t="s">
        <v>81</v>
      </c>
      <c r="D19" s="129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32"/>
      <c r="B20" s="138" t="s">
        <v>89</v>
      </c>
      <c r="C20" s="130" t="s">
        <v>140</v>
      </c>
      <c r="D20" s="130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933084</v>
      </c>
    </row>
    <row r="21" spans="1:19" s="26" customFormat="1" ht="18.75" customHeight="1">
      <c r="A21" s="132"/>
      <c r="B21" s="138"/>
      <c r="C21" s="129" t="s">
        <v>80</v>
      </c>
      <c r="D21" s="129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933084</v>
      </c>
    </row>
    <row r="22" spans="1:19" s="26" customFormat="1" ht="18.75" customHeight="1">
      <c r="A22" s="132"/>
      <c r="B22" s="138"/>
      <c r="C22" s="129" t="s">
        <v>81</v>
      </c>
      <c r="D22" s="129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132"/>
      <c r="B23" s="138"/>
      <c r="C23" s="134" t="s">
        <v>84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6"/>
    </row>
    <row r="24" spans="1:19" ht="50.25" customHeight="1">
      <c r="A24" s="132"/>
      <c r="B24" s="138"/>
      <c r="C24" s="27" t="s">
        <v>27</v>
      </c>
      <c r="D24" s="28" t="s">
        <v>162</v>
      </c>
      <c r="E24" s="29" t="s">
        <v>165</v>
      </c>
      <c r="F24" s="47" t="s">
        <v>163</v>
      </c>
      <c r="G24" s="47" t="s">
        <v>164</v>
      </c>
      <c r="H24" s="31">
        <f>H25+H26</f>
        <v>1898855</v>
      </c>
      <c r="I24" s="31">
        <f aca="true" t="shared" si="9" ref="I24:S24">I25+I26</f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933084</v>
      </c>
    </row>
    <row r="25" spans="1:19" s="18" customFormat="1" ht="32.25" customHeight="1">
      <c r="A25" s="132"/>
      <c r="B25" s="138"/>
      <c r="C25" s="16"/>
      <c r="D25" s="23" t="s">
        <v>166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f>SUM(I25:R25)</f>
        <v>933084</v>
      </c>
    </row>
    <row r="26" spans="1:19" s="18" customFormat="1" ht="19.5" customHeight="1">
      <c r="A26" s="132"/>
      <c r="B26" s="138"/>
      <c r="C26" s="16"/>
      <c r="D26" s="23" t="s">
        <v>136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133"/>
      <c r="B27" s="48" t="s">
        <v>90</v>
      </c>
      <c r="C27" s="137" t="s">
        <v>91</v>
      </c>
      <c r="D27" s="137"/>
      <c r="E27" s="49" t="s">
        <v>24</v>
      </c>
      <c r="F27" s="49" t="s">
        <v>24</v>
      </c>
      <c r="G27" s="49" t="s">
        <v>24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</row>
    <row r="28" ht="15" thickTop="1"/>
  </sheetData>
  <sheetProtection/>
  <mergeCells count="33">
    <mergeCell ref="B20:B26"/>
    <mergeCell ref="C12:D12"/>
    <mergeCell ref="C13:D13"/>
    <mergeCell ref="C11:D11"/>
    <mergeCell ref="A10:A27"/>
    <mergeCell ref="B10:S10"/>
    <mergeCell ref="C23:S23"/>
    <mergeCell ref="C22:D22"/>
    <mergeCell ref="C16:D16"/>
    <mergeCell ref="C27:D27"/>
    <mergeCell ref="B11:B13"/>
    <mergeCell ref="B14:B16"/>
    <mergeCell ref="B17:B19"/>
    <mergeCell ref="S4:S5"/>
    <mergeCell ref="B8:D8"/>
    <mergeCell ref="B9:D9"/>
    <mergeCell ref="C21:D21"/>
    <mergeCell ref="C17:D17"/>
    <mergeCell ref="C18:D18"/>
    <mergeCell ref="C19:D19"/>
    <mergeCell ref="C14:D14"/>
    <mergeCell ref="C15:D15"/>
    <mergeCell ref="C20:D20"/>
    <mergeCell ref="B4:D5"/>
    <mergeCell ref="B6:D6"/>
    <mergeCell ref="B7:D7"/>
    <mergeCell ref="A2:S2"/>
    <mergeCell ref="A1:S1"/>
    <mergeCell ref="E4:E5"/>
    <mergeCell ref="F4:G4"/>
    <mergeCell ref="H4:H5"/>
    <mergeCell ref="A4:A5"/>
    <mergeCell ref="I4:R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36" t="s">
        <v>152</v>
      </c>
      <c r="C1" s="37"/>
      <c r="D1" s="42"/>
      <c r="E1" s="42"/>
    </row>
    <row r="2" spans="2:5" ht="15">
      <c r="B2" s="36" t="s">
        <v>153</v>
      </c>
      <c r="C2" s="37"/>
      <c r="D2" s="42"/>
      <c r="E2" s="42"/>
    </row>
    <row r="3" spans="2:5" ht="14.25">
      <c r="B3" s="38"/>
      <c r="C3" s="38"/>
      <c r="D3" s="43"/>
      <c r="E3" s="43"/>
    </row>
    <row r="4" spans="2:5" ht="57">
      <c r="B4" s="39" t="s">
        <v>154</v>
      </c>
      <c r="C4" s="38"/>
      <c r="D4" s="43"/>
      <c r="E4" s="43"/>
    </row>
    <row r="5" spans="2:5" ht="14.25">
      <c r="B5" s="38"/>
      <c r="C5" s="38"/>
      <c r="D5" s="43"/>
      <c r="E5" s="43"/>
    </row>
    <row r="6" spans="2:5" ht="30">
      <c r="B6" s="36" t="s">
        <v>155</v>
      </c>
      <c r="C6" s="37"/>
      <c r="D6" s="42"/>
      <c r="E6" s="44" t="s">
        <v>156</v>
      </c>
    </row>
    <row r="7" spans="2:5" ht="15" thickBot="1">
      <c r="B7" s="38"/>
      <c r="C7" s="38"/>
      <c r="D7" s="43"/>
      <c r="E7" s="43"/>
    </row>
    <row r="8" spans="2:5" ht="57.75" thickBot="1">
      <c r="B8" s="40" t="s">
        <v>157</v>
      </c>
      <c r="C8" s="41"/>
      <c r="D8" s="45"/>
      <c r="E8" s="46">
        <v>22</v>
      </c>
    </row>
    <row r="9" spans="2:5" ht="14.25">
      <c r="B9" s="38"/>
      <c r="C9" s="38"/>
      <c r="D9" s="43"/>
      <c r="E9" s="43"/>
    </row>
    <row r="10" spans="2:5" ht="14.2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A3" sqref="A3:O3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06" t="s">
        <v>178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30" customHeight="1">
      <c r="A2" s="105" t="s">
        <v>151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1.75" customHeight="1">
      <c r="A3" s="105" t="s">
        <v>71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ht="40.5" customHeight="1">
      <c r="G4" s="53"/>
    </row>
    <row r="5" spans="1:16" s="52" customFormat="1" ht="24.75" customHeight="1">
      <c r="A5" s="104" t="s">
        <v>0</v>
      </c>
      <c r="B5" s="104" t="s">
        <v>1</v>
      </c>
      <c r="C5" s="104" t="s">
        <v>12</v>
      </c>
      <c r="D5" s="104"/>
      <c r="E5" s="104" t="s">
        <v>167</v>
      </c>
      <c r="F5" s="104" t="s">
        <v>15</v>
      </c>
      <c r="G5" s="104" t="s">
        <v>16</v>
      </c>
      <c r="H5" s="104"/>
      <c r="I5" s="104"/>
      <c r="J5" s="104"/>
      <c r="K5" s="104"/>
      <c r="L5" s="104"/>
      <c r="M5" s="104"/>
      <c r="N5" s="104"/>
      <c r="O5" s="104"/>
      <c r="P5" s="54"/>
    </row>
    <row r="6" spans="1:15" s="52" customFormat="1" ht="30" customHeight="1">
      <c r="A6" s="104"/>
      <c r="B6" s="104"/>
      <c r="C6" s="55" t="s">
        <v>13</v>
      </c>
      <c r="D6" s="55" t="s">
        <v>14</v>
      </c>
      <c r="E6" s="104"/>
      <c r="F6" s="104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63540652</v>
      </c>
      <c r="G8" s="9">
        <f t="shared" si="0"/>
        <v>65468858.30000001</v>
      </c>
      <c r="H8" s="9">
        <f t="shared" si="0"/>
        <v>67183234.2925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59387708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4152944</v>
      </c>
      <c r="G10" s="34">
        <v>2100000</v>
      </c>
      <c r="H10" s="34">
        <v>400000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3395944</v>
      </c>
      <c r="G11" s="57">
        <v>2100000</v>
      </c>
      <c r="H11" s="57">
        <v>400000</v>
      </c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59129849</v>
      </c>
      <c r="G12" s="9">
        <f t="shared" si="1"/>
        <v>60545702.441</v>
      </c>
      <c r="H12" s="9">
        <f t="shared" si="1"/>
        <v>62269734.38563299</v>
      </c>
      <c r="I12" s="9">
        <f t="shared" si="1"/>
        <v>64262437.68059893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175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176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f>SUM('[1]Dochody'!$L$35)-50000</f>
        <v>7280167</v>
      </c>
      <c r="H14" s="34">
        <f>SUM('[1]Dochody'!$N$35)-50000</f>
        <v>7353468.67</v>
      </c>
      <c r="I14" s="34">
        <f>SUM('[1]Dochody'!$P$35)-50000</f>
        <v>7538555.38675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5" t="s">
        <v>142</v>
      </c>
      <c r="B15" s="56" t="s">
        <v>174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f>SUM('[1]Dochody'!$L$36)-50000</f>
        <v>5183710</v>
      </c>
      <c r="H15" s="34">
        <f>SUM('[1]Dochody'!$N$36)-50000</f>
        <v>5236047.1</v>
      </c>
      <c r="I15" s="34">
        <f>SUM('[1]Dochody'!$P$36)-50000</f>
        <v>5368198.2775</v>
      </c>
      <c r="J15" s="34">
        <f>SUM('[1]Dochody'!$R$36)</f>
        <v>5553653.2344375</v>
      </c>
      <c r="K15" s="34">
        <f>SUM('[1]Dochody'!$T$36)</f>
        <v>5692494.565298438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3"/>
      <c r="B17" s="86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8" customFormat="1" ht="27.75" customHeight="1">
      <c r="A18" s="103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3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f>SUM('[1]Dochody'!$I$38)</f>
        <v>23939905</v>
      </c>
      <c r="G20" s="34">
        <f>SUM('[1]Dochody'!$L$38)-250000</f>
        <v>24288402.625</v>
      </c>
      <c r="H20" s="34">
        <f>SUM(zał_1_WPF!H20)-250000</f>
        <v>24851880.690625</v>
      </c>
      <c r="I20" s="34">
        <f>SUM(zał_1_WPF!I20)-250000</f>
        <v>25530659.257890627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4410803</v>
      </c>
      <c r="G21" s="9">
        <f t="shared" si="3"/>
        <v>4923155.859000012</v>
      </c>
      <c r="H21" s="9">
        <f t="shared" si="3"/>
        <v>4913499.906867012</v>
      </c>
      <c r="I21" s="9">
        <f t="shared" si="3"/>
        <v>5647057.864513561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3" customFormat="1" ht="57.75" customHeight="1">
      <c r="A22" s="61" t="s">
        <v>135</v>
      </c>
      <c r="B22" s="96" t="s">
        <v>168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257859</v>
      </c>
      <c r="G22" s="62">
        <f t="shared" si="4"/>
        <v>2823155.8590000123</v>
      </c>
      <c r="H22" s="62">
        <f t="shared" si="4"/>
        <v>4513499.906867012</v>
      </c>
      <c r="I22" s="62">
        <f t="shared" si="4"/>
        <v>5647057.864513561</v>
      </c>
      <c r="J22" s="62">
        <f t="shared" si="4"/>
        <v>6691676.958400466</v>
      </c>
      <c r="K22" s="62">
        <f t="shared" si="4"/>
        <v>8292751.501393542</v>
      </c>
      <c r="L22" s="62">
        <f t="shared" si="4"/>
        <v>10095473.757471412</v>
      </c>
      <c r="M22" s="62">
        <f t="shared" si="4"/>
        <v>12057303.767698854</v>
      </c>
      <c r="N22" s="62">
        <f t="shared" si="4"/>
        <v>14285760.220593885</v>
      </c>
      <c r="O22" s="62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2090304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2090304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6501107</v>
      </c>
      <c r="G27" s="9">
        <f t="shared" si="6"/>
        <v>4923155.859000012</v>
      </c>
      <c r="H27" s="9">
        <f t="shared" si="6"/>
        <v>4913499.906867012</v>
      </c>
      <c r="I27" s="9">
        <f t="shared" si="6"/>
        <v>5647057.864513561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3" customFormat="1" ht="57" customHeight="1">
      <c r="A28" s="61" t="s">
        <v>135</v>
      </c>
      <c r="B28" s="91" t="s">
        <v>169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2348163</v>
      </c>
      <c r="G28" s="64">
        <f t="shared" si="7"/>
        <v>2823155.8590000123</v>
      </c>
      <c r="H28" s="64">
        <f t="shared" si="7"/>
        <v>4513499.906867012</v>
      </c>
      <c r="I28" s="64">
        <f t="shared" si="7"/>
        <v>5647057.864513561</v>
      </c>
      <c r="J28" s="64">
        <f>J9-J12+J23</f>
        <v>6691676.958400466</v>
      </c>
      <c r="K28" s="64">
        <f>K9-K12+K23</f>
        <v>8292751.501393542</v>
      </c>
      <c r="L28" s="64">
        <f>L9-L12+L23</f>
        <v>10095473.757471412</v>
      </c>
      <c r="M28" s="64">
        <f>M9-M12+M23</f>
        <v>12057303.767698854</v>
      </c>
      <c r="N28" s="64">
        <f>N9-N12+N23</f>
        <v>14285760.220593885</v>
      </c>
      <c r="O28" s="64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4470105</v>
      </c>
      <c r="H29" s="9">
        <f t="shared" si="8"/>
        <v>4031500</v>
      </c>
      <c r="I29" s="9">
        <f t="shared" si="8"/>
        <v>3255500</v>
      </c>
      <c r="J29" s="9">
        <f>J30+J36</f>
        <v>4091000</v>
      </c>
      <c r="K29" s="9">
        <f>K30+K36</f>
        <v>3425000</v>
      </c>
      <c r="L29" s="9">
        <f>L30+L36</f>
        <v>1872000</v>
      </c>
      <c r="M29" s="9">
        <f>M30+M36</f>
        <v>2272000</v>
      </c>
      <c r="N29" s="9">
        <f>N30+N36</f>
        <v>2165000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1466000</v>
      </c>
      <c r="H30" s="31">
        <f t="shared" si="9"/>
        <v>983500</v>
      </c>
      <c r="I30" s="31">
        <f t="shared" si="9"/>
        <v>807500</v>
      </c>
      <c r="J30" s="31">
        <f>J31+J32+J34</f>
        <v>643000</v>
      </c>
      <c r="K30" s="31">
        <f>K31+K32+K34</f>
        <v>477000</v>
      </c>
      <c r="L30" s="31">
        <f>L31+L32+L34</f>
        <v>374000</v>
      </c>
      <c r="M30" s="31">
        <f>M31+M32+M34</f>
        <v>274000</v>
      </c>
      <c r="N30" s="31">
        <f>N31+N32+N34</f>
        <v>167000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1466000</v>
      </c>
      <c r="H31" s="34">
        <v>983500</v>
      </c>
      <c r="I31" s="34">
        <v>807500</v>
      </c>
      <c r="J31" s="34">
        <v>643000</v>
      </c>
      <c r="K31" s="34">
        <v>477000</v>
      </c>
      <c r="L31" s="34">
        <v>374000</v>
      </c>
      <c r="M31" s="34">
        <v>274000</v>
      </c>
      <c r="N31" s="34">
        <v>167000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170</v>
      </c>
      <c r="C39" s="70">
        <f>C9-C12+C23-C30</f>
        <v>-728525</v>
      </c>
      <c r="D39" s="70">
        <f aca="true" t="shared" si="10" ref="D39:O39">D9-D12+D23-D30</f>
        <v>648249</v>
      </c>
      <c r="E39" s="70">
        <f t="shared" si="10"/>
        <v>2325993</v>
      </c>
      <c r="F39" s="71">
        <f t="shared" si="10"/>
        <v>543163</v>
      </c>
      <c r="G39" s="71">
        <f t="shared" si="10"/>
        <v>1357155.8590000123</v>
      </c>
      <c r="H39" s="71">
        <f t="shared" si="10"/>
        <v>3529999.9068670124</v>
      </c>
      <c r="I39" s="71">
        <f t="shared" si="10"/>
        <v>4839557.864513561</v>
      </c>
      <c r="J39" s="71">
        <f t="shared" si="10"/>
        <v>6048676.958400466</v>
      </c>
      <c r="K39" s="71">
        <f t="shared" si="10"/>
        <v>7815751.501393542</v>
      </c>
      <c r="L39" s="71">
        <f t="shared" si="10"/>
        <v>9721473.757471412</v>
      </c>
      <c r="M39" s="71">
        <f t="shared" si="10"/>
        <v>11783303.767698854</v>
      </c>
      <c r="N39" s="71">
        <f t="shared" si="10"/>
        <v>14118760.220593885</v>
      </c>
      <c r="O39" s="71">
        <f t="shared" si="10"/>
        <v>16746127.457242459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1673687</v>
      </c>
      <c r="G40" s="9">
        <f>G27-G29-G38</f>
        <v>453050.8590000123</v>
      </c>
      <c r="H40" s="9">
        <f>H27-H29-H38</f>
        <v>881999.9068670124</v>
      </c>
      <c r="I40" s="9">
        <f>I27-I29-I38</f>
        <v>2391557.864513561</v>
      </c>
      <c r="J40" s="9">
        <f aca="true" t="shared" si="11" ref="J40:O40">J27-J29-J38</f>
        <v>2600676.9584004655</v>
      </c>
      <c r="K40" s="9">
        <f t="shared" si="11"/>
        <v>4867751.501393542</v>
      </c>
      <c r="L40" s="9">
        <f t="shared" si="11"/>
        <v>8223473.757471412</v>
      </c>
      <c r="M40" s="9">
        <f t="shared" si="11"/>
        <v>9785303.767698854</v>
      </c>
      <c r="N40" s="9">
        <f t="shared" si="11"/>
        <v>12120760.220593885</v>
      </c>
      <c r="O40" s="9">
        <f t="shared" si="11"/>
        <v>15246127.457242459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1673687</v>
      </c>
      <c r="G41" s="9">
        <f>G42+G47</f>
        <v>453051</v>
      </c>
      <c r="H41" s="9">
        <f>H42+H47</f>
        <v>882000</v>
      </c>
      <c r="I41" s="9">
        <f aca="true" t="shared" si="12" ref="I41:O41">I42+I47</f>
        <v>2391558</v>
      </c>
      <c r="J41" s="9">
        <f t="shared" si="12"/>
        <v>2600677</v>
      </c>
      <c r="K41" s="9">
        <f t="shared" si="12"/>
        <v>4867752</v>
      </c>
      <c r="L41" s="9">
        <f t="shared" si="12"/>
        <v>8223474</v>
      </c>
      <c r="M41" s="9">
        <f t="shared" si="12"/>
        <v>9785304</v>
      </c>
      <c r="N41" s="9">
        <f t="shared" si="12"/>
        <v>12120760</v>
      </c>
      <c r="O41" s="9">
        <f t="shared" si="12"/>
        <v>15246127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3" ref="J42:O42">J43+J45</f>
        <v>0</v>
      </c>
      <c r="K42" s="72">
        <f t="shared" si="13"/>
        <v>0</v>
      </c>
      <c r="L42" s="72">
        <f t="shared" si="13"/>
        <v>0</v>
      </c>
      <c r="M42" s="72">
        <f t="shared" si="13"/>
        <v>0</v>
      </c>
      <c r="N42" s="72">
        <f t="shared" si="13"/>
        <v>0</v>
      </c>
      <c r="O42" s="72">
        <f t="shared" si="13"/>
        <v>0</v>
      </c>
    </row>
    <row r="43" spans="1:15" ht="31.5" customHeight="1">
      <c r="A43" s="98"/>
      <c r="B43" s="86" t="s">
        <v>172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99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99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97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1673687</v>
      </c>
      <c r="G47" s="57">
        <v>453051</v>
      </c>
      <c r="H47" s="57">
        <v>882000</v>
      </c>
      <c r="I47" s="57">
        <v>2391558</v>
      </c>
      <c r="J47" s="57">
        <v>2600677</v>
      </c>
      <c r="K47" s="57">
        <v>4867752</v>
      </c>
      <c r="L47" s="57">
        <v>8223474</v>
      </c>
      <c r="M47" s="57">
        <v>9785304</v>
      </c>
      <c r="N47" s="57">
        <v>12120760</v>
      </c>
      <c r="O47" s="57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4" ref="D50:O50">D40-D41+D48</f>
        <v>5058805</v>
      </c>
      <c r="E50" s="9">
        <f>E40-E41+E48</f>
        <v>2090304</v>
      </c>
      <c r="F50" s="9">
        <f t="shared" si="14"/>
        <v>0</v>
      </c>
      <c r="G50" s="9">
        <f t="shared" si="14"/>
        <v>-0.14099998772144318</v>
      </c>
      <c r="H50" s="9">
        <f t="shared" si="14"/>
        <v>-0.09313298761844635</v>
      </c>
      <c r="I50" s="9">
        <f t="shared" si="14"/>
        <v>-0.13548643887043</v>
      </c>
      <c r="J50" s="9">
        <f t="shared" si="14"/>
        <v>-0.04159953445196152</v>
      </c>
      <c r="K50" s="9">
        <f t="shared" si="14"/>
        <v>-0.49860645830631256</v>
      </c>
      <c r="L50" s="9">
        <f t="shared" si="14"/>
        <v>-0.24252858757972717</v>
      </c>
      <c r="M50" s="9">
        <f t="shared" si="14"/>
        <v>-0.23230114579200745</v>
      </c>
      <c r="N50" s="9">
        <f t="shared" si="14"/>
        <v>0.2205938845872879</v>
      </c>
      <c r="O50" s="9">
        <f t="shared" si="14"/>
        <v>0.4572424590587616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10" t="s">
        <v>72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6" s="52" customFormat="1" ht="24.75" customHeight="1">
      <c r="A53" s="97" t="s">
        <v>0</v>
      </c>
      <c r="B53" s="97" t="s">
        <v>1</v>
      </c>
      <c r="C53" s="97" t="s">
        <v>12</v>
      </c>
      <c r="D53" s="97"/>
      <c r="E53" s="97" t="s">
        <v>158</v>
      </c>
      <c r="F53" s="97" t="s">
        <v>15</v>
      </c>
      <c r="G53" s="97" t="s">
        <v>16</v>
      </c>
      <c r="H53" s="97"/>
      <c r="I53" s="97"/>
      <c r="J53" s="97"/>
      <c r="K53" s="97"/>
      <c r="L53" s="97"/>
      <c r="M53" s="97"/>
      <c r="N53" s="97"/>
      <c r="O53" s="97"/>
      <c r="P53" s="54"/>
    </row>
    <row r="54" spans="1:15" s="52" customFormat="1" ht="30" customHeight="1">
      <c r="A54" s="104"/>
      <c r="B54" s="104"/>
      <c r="C54" s="55" t="s">
        <v>13</v>
      </c>
      <c r="D54" s="55" t="s">
        <v>14</v>
      </c>
      <c r="E54" s="104"/>
      <c r="F54" s="104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>
        <v>10</v>
      </c>
      <c r="K55" s="55">
        <v>11</v>
      </c>
      <c r="L55" s="55">
        <v>12</v>
      </c>
      <c r="M55" s="55">
        <v>13</v>
      </c>
      <c r="N55" s="55">
        <v>14</v>
      </c>
      <c r="O55" s="55">
        <v>15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5" ref="D56:O57">C56+D48-D58</f>
        <v>27754944.81</v>
      </c>
      <c r="E56" s="9">
        <f t="shared" si="15"/>
        <v>24912524.81</v>
      </c>
      <c r="F56" s="9">
        <f t="shared" si="15"/>
        <v>21890104.81</v>
      </c>
      <c r="G56" s="9">
        <f t="shared" si="15"/>
        <v>18885999.81</v>
      </c>
      <c r="H56" s="9">
        <f t="shared" si="15"/>
        <v>15837999.809999999</v>
      </c>
      <c r="I56" s="9">
        <f t="shared" si="15"/>
        <v>13389999.809999999</v>
      </c>
      <c r="J56" s="9">
        <f t="shared" si="15"/>
        <v>9941999.809999999</v>
      </c>
      <c r="K56" s="9">
        <f t="shared" si="15"/>
        <v>6993999.809999999</v>
      </c>
      <c r="L56" s="9">
        <f t="shared" si="15"/>
        <v>5495999.809999999</v>
      </c>
      <c r="M56" s="9">
        <f t="shared" si="15"/>
        <v>3497999.8099999987</v>
      </c>
      <c r="N56" s="9">
        <f t="shared" si="15"/>
        <v>1499999.8099999987</v>
      </c>
      <c r="O56" s="9">
        <f t="shared" si="15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t="shared" si="15"/>
        <v>0</v>
      </c>
      <c r="F57" s="75">
        <f t="shared" si="15"/>
        <v>0</v>
      </c>
      <c r="G57" s="75">
        <f t="shared" si="15"/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6" ref="D58:O59">D36</f>
        <v>3252819</v>
      </c>
      <c r="E58" s="9">
        <f t="shared" si="16"/>
        <v>2842420</v>
      </c>
      <c r="F58" s="9">
        <f t="shared" si="16"/>
        <v>3022420</v>
      </c>
      <c r="G58" s="9">
        <f t="shared" si="16"/>
        <v>3004105</v>
      </c>
      <c r="H58" s="9">
        <f t="shared" si="16"/>
        <v>3048000</v>
      </c>
      <c r="I58" s="9">
        <f t="shared" si="16"/>
        <v>2448000</v>
      </c>
      <c r="J58" s="9">
        <f t="shared" si="16"/>
        <v>3448000</v>
      </c>
      <c r="K58" s="9">
        <f t="shared" si="16"/>
        <v>2948000</v>
      </c>
      <c r="L58" s="9">
        <f t="shared" si="16"/>
        <v>1498000</v>
      </c>
      <c r="M58" s="9">
        <f t="shared" si="16"/>
        <v>1998000</v>
      </c>
      <c r="N58" s="9">
        <f t="shared" si="16"/>
        <v>1998000</v>
      </c>
      <c r="O58" s="9">
        <f t="shared" si="16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t="shared" si="16"/>
        <v>926839</v>
      </c>
      <c r="E59" s="75">
        <f t="shared" si="16"/>
        <v>0</v>
      </c>
      <c r="F59" s="75">
        <f t="shared" si="16"/>
        <v>0</v>
      </c>
      <c r="G59" s="75">
        <f t="shared" si="16"/>
        <v>0</v>
      </c>
      <c r="H59" s="75">
        <f t="shared" si="16"/>
        <v>0</v>
      </c>
      <c r="I59" s="75">
        <f t="shared" si="16"/>
        <v>0</v>
      </c>
      <c r="J59" s="75">
        <f t="shared" si="16"/>
        <v>0</v>
      </c>
      <c r="K59" s="75">
        <f t="shared" si="16"/>
        <v>0</v>
      </c>
      <c r="L59" s="75">
        <f t="shared" si="16"/>
        <v>0</v>
      </c>
      <c r="M59" s="75">
        <f t="shared" si="16"/>
        <v>0</v>
      </c>
      <c r="N59" s="75">
        <f t="shared" si="16"/>
        <v>0</v>
      </c>
      <c r="O59" s="75">
        <f t="shared" si="16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17" ref="D60:O60">D61+D62+D63+D64</f>
        <v>513950</v>
      </c>
      <c r="E60" s="9">
        <f t="shared" si="17"/>
        <v>2718756</v>
      </c>
      <c r="F60" s="9">
        <f t="shared" si="17"/>
        <v>543163</v>
      </c>
      <c r="G60" s="9">
        <f t="shared" si="17"/>
        <v>0</v>
      </c>
      <c r="H60" s="9">
        <f t="shared" si="17"/>
        <v>0</v>
      </c>
      <c r="I60" s="9">
        <f t="shared" si="17"/>
        <v>0</v>
      </c>
      <c r="J60" s="9">
        <f t="shared" si="17"/>
        <v>0</v>
      </c>
      <c r="K60" s="9">
        <f t="shared" si="17"/>
        <v>0</v>
      </c>
      <c r="L60" s="9">
        <f t="shared" si="17"/>
        <v>0</v>
      </c>
      <c r="M60" s="9">
        <f t="shared" si="17"/>
        <v>0</v>
      </c>
      <c r="N60" s="9">
        <f t="shared" si="17"/>
        <v>0</v>
      </c>
      <c r="O60" s="9">
        <f t="shared" si="17"/>
        <v>0</v>
      </c>
    </row>
    <row r="61" spans="1:15" ht="42.75" customHeight="1">
      <c r="A61" s="98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99"/>
      <c r="B62" s="65" t="s">
        <v>11</v>
      </c>
      <c r="C62" s="57"/>
      <c r="D62" s="57"/>
      <c r="E62" s="57">
        <v>2718756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99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97"/>
      <c r="B64" s="65" t="s">
        <v>76</v>
      </c>
      <c r="C64" s="57">
        <v>392660</v>
      </c>
      <c r="D64" s="57">
        <v>513950</v>
      </c>
      <c r="E64" s="57"/>
      <c r="F64" s="57">
        <v>543163</v>
      </c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00" t="s">
        <v>23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</row>
    <row r="70" spans="1:15" ht="41.25" customHeight="1">
      <c r="A70" s="55" t="s">
        <v>105</v>
      </c>
      <c r="B70" s="56" t="s">
        <v>34</v>
      </c>
      <c r="C70" s="77">
        <f aca="true" t="shared" si="18" ref="C70:H70">C29/C8</f>
        <v>0.09865223507663158</v>
      </c>
      <c r="D70" s="77">
        <f t="shared" si="18"/>
        <v>0.0826559864038533</v>
      </c>
      <c r="E70" s="77">
        <f t="shared" si="18"/>
        <v>0.06103554854547043</v>
      </c>
      <c r="F70" s="77">
        <f t="shared" si="18"/>
        <v>0.07597372466370034</v>
      </c>
      <c r="G70" s="77">
        <f t="shared" si="18"/>
        <v>0.06827834051292749</v>
      </c>
      <c r="H70" s="77">
        <f t="shared" si="18"/>
        <v>0.06000753078435904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19" ref="C71:H71">(C29-C33-C35-C37)/C8</f>
        <v>0.08109375936283388</v>
      </c>
      <c r="D71" s="78">
        <f t="shared" si="19"/>
        <v>0.06680336497241807</v>
      </c>
      <c r="E71" s="78">
        <f t="shared" si="19"/>
        <v>0.06103554854547043</v>
      </c>
      <c r="F71" s="78">
        <f t="shared" si="19"/>
        <v>0.07597372466370034</v>
      </c>
      <c r="G71" s="78">
        <f t="shared" si="19"/>
        <v>0.06827834051292749</v>
      </c>
      <c r="H71" s="78">
        <f t="shared" si="19"/>
        <v>0.06000753078435904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0" ref="C72:H72">C56/C8</f>
        <v>0.47239793315672013</v>
      </c>
      <c r="D72" s="77">
        <f t="shared" si="20"/>
        <v>0.4747195930720528</v>
      </c>
      <c r="E72" s="77">
        <f t="shared" si="20"/>
        <v>0.35016180319522094</v>
      </c>
      <c r="F72" s="77">
        <f t="shared" si="20"/>
        <v>0.3445055113693199</v>
      </c>
      <c r="G72" s="77">
        <f t="shared" si="20"/>
        <v>0.2884730282519681</v>
      </c>
      <c r="H72" s="77">
        <f t="shared" si="20"/>
        <v>0.23574333651525425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173</v>
      </c>
      <c r="C73" s="78">
        <f aca="true" t="shared" si="21" ref="C73:H73">(C56-C57)/C8</f>
        <v>0.45556308218038616</v>
      </c>
      <c r="D73" s="78">
        <f t="shared" si="21"/>
        <v>0.4747195930720528</v>
      </c>
      <c r="E73" s="78">
        <f t="shared" si="21"/>
        <v>0.35016180319522094</v>
      </c>
      <c r="F73" s="78">
        <f t="shared" si="21"/>
        <v>0.3445055113693199</v>
      </c>
      <c r="G73" s="78">
        <f t="shared" si="21"/>
        <v>0.2884730282519681</v>
      </c>
      <c r="H73" s="78">
        <f t="shared" si="21"/>
        <v>0.23574333651525425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2" ref="C74:O74">(C9+C11-C12-C30)/C8</f>
        <v>-0.04191459927575043</v>
      </c>
      <c r="D74" s="77">
        <f t="shared" si="22"/>
        <v>-0.035757890439425996</v>
      </c>
      <c r="E74" s="77">
        <f t="shared" si="22"/>
        <v>0.037423583631528694</v>
      </c>
      <c r="F74" s="77">
        <f t="shared" si="22"/>
        <v>0.029096380691844333</v>
      </c>
      <c r="G74" s="77">
        <f t="shared" si="22"/>
        <v>0.05280611192512596</v>
      </c>
      <c r="H74" s="77">
        <f t="shared" si="22"/>
        <v>0.05849673580400606</v>
      </c>
      <c r="I74" s="77">
        <f t="shared" si="22"/>
        <v>0.0692260447136341</v>
      </c>
      <c r="J74" s="77">
        <f>(J9+J11-J12-J30)/J8</f>
        <v>0.08256412963471799</v>
      </c>
      <c r="K74" s="77">
        <f>(K9+K11-K12-K30)/K8</f>
        <v>0.10168896325037</v>
      </c>
      <c r="L74" s="77">
        <f>(L9+L11-L12-L30)/L8</f>
        <v>0.12041470203105539</v>
      </c>
      <c r="M74" s="77">
        <f>(M9+M11-M12-M30)/M8</f>
        <v>0.1387704597643703</v>
      </c>
      <c r="N74" s="77">
        <f>(N9+N11-N12-N30)/N8</f>
        <v>0.15787446022819906</v>
      </c>
      <c r="O74" s="77">
        <f t="shared" si="22"/>
        <v>0.1775339201756319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3" ref="F75:N75">(C74+D74+E74)/3</f>
        <v>-0.013416302027882578</v>
      </c>
      <c r="G75" s="80">
        <f t="shared" si="23"/>
        <v>0.010254024627982344</v>
      </c>
      <c r="H75" s="77">
        <f t="shared" si="23"/>
        <v>0.03977535874949966</v>
      </c>
      <c r="I75" s="77">
        <f t="shared" si="23"/>
        <v>0.04679974280699212</v>
      </c>
      <c r="J75" s="77">
        <f t="shared" si="23"/>
        <v>0.060176297480922035</v>
      </c>
      <c r="K75" s="77">
        <f t="shared" si="23"/>
        <v>0.07009563671745271</v>
      </c>
      <c r="L75" s="77">
        <f t="shared" si="23"/>
        <v>0.08449304586624069</v>
      </c>
      <c r="M75" s="77">
        <f t="shared" si="23"/>
        <v>0.10155593163871446</v>
      </c>
      <c r="N75" s="77">
        <f t="shared" si="23"/>
        <v>0.12029137501526523</v>
      </c>
      <c r="O75" s="77">
        <f>(G74+H74+I74)/3</f>
        <v>0.060176297480922035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24" ref="F76:O76">F29/F8</f>
        <v>0.07597372466370034</v>
      </c>
      <c r="G76" s="77">
        <f t="shared" si="24"/>
        <v>0.06827834051292749</v>
      </c>
      <c r="H76" s="77">
        <f t="shared" si="24"/>
        <v>0.06000753078435904</v>
      </c>
      <c r="I76" s="77">
        <f t="shared" si="24"/>
        <v>0.046567350752791954</v>
      </c>
      <c r="J76" s="77">
        <f t="shared" si="24"/>
        <v>0.05584193975949286</v>
      </c>
      <c r="K76" s="77">
        <f t="shared" si="24"/>
        <v>0.04456189517673616</v>
      </c>
      <c r="L76" s="77">
        <f t="shared" si="24"/>
        <v>0.023187463940731477</v>
      </c>
      <c r="M76" s="77">
        <f t="shared" si="24"/>
        <v>0.02675705309820942</v>
      </c>
      <c r="N76" s="77">
        <f t="shared" si="24"/>
        <v>0.024208797447774332</v>
      </c>
      <c r="O76" s="77">
        <f t="shared" si="24"/>
        <v>0.01665494242224312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25" ref="F77:O77">(F29-F33-F35-F37)/F8</f>
        <v>0.07597372466370034</v>
      </c>
      <c r="G77" s="78">
        <f t="shared" si="25"/>
        <v>0.06827834051292749</v>
      </c>
      <c r="H77" s="78">
        <f t="shared" si="25"/>
        <v>0.06000753078435904</v>
      </c>
      <c r="I77" s="78">
        <f t="shared" si="25"/>
        <v>0.046567350752791954</v>
      </c>
      <c r="J77" s="78">
        <f t="shared" si="25"/>
        <v>0.05584193975949286</v>
      </c>
      <c r="K77" s="78">
        <f t="shared" si="25"/>
        <v>0.04456189517673616</v>
      </c>
      <c r="L77" s="78">
        <f t="shared" si="25"/>
        <v>0.023187463940731477</v>
      </c>
      <c r="M77" s="78">
        <f t="shared" si="25"/>
        <v>0.02675705309820942</v>
      </c>
      <c r="N77" s="78">
        <f t="shared" si="25"/>
        <v>0.024208797447774332</v>
      </c>
      <c r="O77" s="78">
        <f t="shared" si="25"/>
        <v>0.01665494242224312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10" t="s">
        <v>138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</row>
    <row r="81" spans="1:16" s="52" customFormat="1" ht="24.75" customHeight="1">
      <c r="A81" s="104" t="s">
        <v>0</v>
      </c>
      <c r="B81" s="104" t="s">
        <v>1</v>
      </c>
      <c r="C81" s="104" t="s">
        <v>12</v>
      </c>
      <c r="D81" s="104"/>
      <c r="E81" s="104" t="s">
        <v>159</v>
      </c>
      <c r="F81" s="104" t="s">
        <v>15</v>
      </c>
      <c r="G81" s="104" t="s">
        <v>16</v>
      </c>
      <c r="H81" s="104"/>
      <c r="I81" s="104"/>
      <c r="J81" s="104"/>
      <c r="K81" s="104"/>
      <c r="L81" s="104"/>
      <c r="M81" s="104"/>
      <c r="N81" s="104"/>
      <c r="O81" s="104"/>
      <c r="P81" s="54"/>
    </row>
    <row r="82" spans="1:15" s="52" customFormat="1" ht="30" customHeight="1">
      <c r="A82" s="104"/>
      <c r="B82" s="104"/>
      <c r="C82" s="55" t="s">
        <v>13</v>
      </c>
      <c r="D82" s="55" t="s">
        <v>14</v>
      </c>
      <c r="E82" s="104"/>
      <c r="F82" s="104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10</v>
      </c>
      <c r="K83" s="55">
        <v>11</v>
      </c>
      <c r="L83" s="55">
        <v>12</v>
      </c>
      <c r="M83" s="55">
        <v>13</v>
      </c>
      <c r="N83" s="55">
        <v>14</v>
      </c>
      <c r="O83" s="55">
        <v>15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26" ref="D84:O84">D8</f>
        <v>58465977</v>
      </c>
      <c r="E84" s="31">
        <f t="shared" si="26"/>
        <v>71145752</v>
      </c>
      <c r="F84" s="31">
        <f t="shared" si="26"/>
        <v>63540652</v>
      </c>
      <c r="G84" s="31">
        <f t="shared" si="26"/>
        <v>65468858.30000001</v>
      </c>
      <c r="H84" s="31">
        <f t="shared" si="26"/>
        <v>67183234.2925</v>
      </c>
      <c r="I84" s="31">
        <f t="shared" si="26"/>
        <v>69909495.54511249</v>
      </c>
      <c r="J84" s="31">
        <f t="shared" si="26"/>
        <v>73260349.07848182</v>
      </c>
      <c r="K84" s="31">
        <f t="shared" si="26"/>
        <v>76859388.19289815</v>
      </c>
      <c r="L84" s="31">
        <f t="shared" si="26"/>
        <v>80733279.18848488</v>
      </c>
      <c r="M84" s="31">
        <f t="shared" si="26"/>
        <v>84912190.87770328</v>
      </c>
      <c r="N84" s="31">
        <f t="shared" si="26"/>
        <v>89430299.24020626</v>
      </c>
      <c r="O84" s="31">
        <f t="shared" si="26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27" ref="C85:O85">C12+C30+C41</f>
        <v>58297962</v>
      </c>
      <c r="D85" s="31">
        <f t="shared" si="27"/>
        <v>59986916</v>
      </c>
      <c r="E85" s="31">
        <f t="shared" si="27"/>
        <v>69178139</v>
      </c>
      <c r="F85" s="31">
        <f t="shared" si="27"/>
        <v>62608536</v>
      </c>
      <c r="G85" s="31">
        <f t="shared" si="27"/>
        <v>62464753.441</v>
      </c>
      <c r="H85" s="31">
        <f t="shared" si="27"/>
        <v>64135234.38563299</v>
      </c>
      <c r="I85" s="31">
        <f t="shared" si="27"/>
        <v>67461495.68059893</v>
      </c>
      <c r="J85" s="31">
        <f t="shared" si="27"/>
        <v>69812349.12008137</v>
      </c>
      <c r="K85" s="31">
        <f t="shared" si="27"/>
        <v>73911388.69150461</v>
      </c>
      <c r="L85" s="31">
        <f t="shared" si="27"/>
        <v>79235279.43101346</v>
      </c>
      <c r="M85" s="31">
        <f t="shared" si="27"/>
        <v>82914191.11000443</v>
      </c>
      <c r="N85" s="31">
        <f t="shared" si="27"/>
        <v>87432299.01961237</v>
      </c>
      <c r="O85" s="31">
        <f t="shared" si="27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28" ref="J86:O86">J16+J34+J42</f>
        <v>156768</v>
      </c>
      <c r="K86" s="31">
        <f t="shared" si="28"/>
        <v>75725</v>
      </c>
      <c r="L86" s="31">
        <f t="shared" si="28"/>
        <v>0</v>
      </c>
      <c r="M86" s="31">
        <f t="shared" si="28"/>
        <v>0</v>
      </c>
      <c r="N86" s="31">
        <f t="shared" si="28"/>
        <v>0</v>
      </c>
      <c r="O86" s="31">
        <f t="shared" si="28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29" ref="C87:O87">C8-C85</f>
        <v>-3243183</v>
      </c>
      <c r="D87" s="31">
        <f t="shared" si="29"/>
        <v>-1520939</v>
      </c>
      <c r="E87" s="31">
        <f t="shared" si="29"/>
        <v>1967613</v>
      </c>
      <c r="F87" s="31">
        <f t="shared" si="29"/>
        <v>932116</v>
      </c>
      <c r="G87" s="31">
        <f t="shared" si="29"/>
        <v>3004104.8590000123</v>
      </c>
      <c r="H87" s="31">
        <f t="shared" si="29"/>
        <v>3047999.9068670124</v>
      </c>
      <c r="I87" s="31">
        <f t="shared" si="29"/>
        <v>2447999.864513561</v>
      </c>
      <c r="J87" s="31">
        <f t="shared" si="29"/>
        <v>3447999.958400458</v>
      </c>
      <c r="K87" s="31">
        <f t="shared" si="29"/>
        <v>2947999.5013935417</v>
      </c>
      <c r="L87" s="31">
        <f t="shared" si="29"/>
        <v>1497999.7574714124</v>
      </c>
      <c r="M87" s="31">
        <f t="shared" si="29"/>
        <v>1997999.7676988542</v>
      </c>
      <c r="N87" s="31">
        <f t="shared" si="29"/>
        <v>1998000.2205938846</v>
      </c>
      <c r="O87" s="31">
        <f t="shared" si="29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0" ref="C88:O88">C23+C48</f>
        <v>10244711</v>
      </c>
      <c r="D88" s="31">
        <f t="shared" si="30"/>
        <v>7738869</v>
      </c>
      <c r="E88" s="31">
        <f t="shared" si="30"/>
        <v>2965111</v>
      </c>
      <c r="F88" s="31">
        <f t="shared" si="30"/>
        <v>2090304</v>
      </c>
      <c r="G88" s="31">
        <f t="shared" si="30"/>
        <v>0</v>
      </c>
      <c r="H88" s="31">
        <f t="shared" si="30"/>
        <v>0</v>
      </c>
      <c r="I88" s="31">
        <f t="shared" si="30"/>
        <v>0</v>
      </c>
      <c r="J88" s="31">
        <f t="shared" si="30"/>
        <v>0</v>
      </c>
      <c r="K88" s="31">
        <f t="shared" si="30"/>
        <v>0</v>
      </c>
      <c r="L88" s="31">
        <f t="shared" si="30"/>
        <v>0</v>
      </c>
      <c r="M88" s="31">
        <f t="shared" si="30"/>
        <v>0</v>
      </c>
      <c r="N88" s="31">
        <f t="shared" si="30"/>
        <v>0</v>
      </c>
      <c r="O88" s="31">
        <f t="shared" si="3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31" ref="D89:O89">D36+D38</f>
        <v>3252819</v>
      </c>
      <c r="E89" s="31">
        <f t="shared" si="31"/>
        <v>2842420</v>
      </c>
      <c r="F89" s="31">
        <f t="shared" si="31"/>
        <v>3022420</v>
      </c>
      <c r="G89" s="31">
        <f t="shared" si="31"/>
        <v>3004105</v>
      </c>
      <c r="H89" s="31">
        <f t="shared" si="31"/>
        <v>3048000</v>
      </c>
      <c r="I89" s="31">
        <f t="shared" si="31"/>
        <v>2448000</v>
      </c>
      <c r="J89" s="31">
        <f t="shared" si="31"/>
        <v>3448000</v>
      </c>
      <c r="K89" s="31">
        <f t="shared" si="31"/>
        <v>2948000</v>
      </c>
      <c r="L89" s="31">
        <f t="shared" si="31"/>
        <v>1498000</v>
      </c>
      <c r="M89" s="31">
        <f t="shared" si="31"/>
        <v>1998000</v>
      </c>
      <c r="N89" s="31">
        <f t="shared" si="31"/>
        <v>1998000</v>
      </c>
      <c r="O89" s="31">
        <f t="shared" si="31"/>
        <v>1500000</v>
      </c>
    </row>
    <row r="90" spans="1:15" s="35" customFormat="1" ht="50.25" customHeight="1">
      <c r="A90" s="108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0</v>
      </c>
      <c r="G90" s="71">
        <f>G8-G85+G88-G89</f>
        <v>-0.14099998772144318</v>
      </c>
      <c r="H90" s="71">
        <f>H8-H85+H88-H89</f>
        <v>-0.09313298761844635</v>
      </c>
      <c r="I90" s="71">
        <f>I8-I85+I88-I89</f>
        <v>-0.13548643887043</v>
      </c>
      <c r="J90" s="71">
        <f aca="true" t="shared" si="32" ref="J90:O90">J8-J85+J88-J89</f>
        <v>-0.041599541902542114</v>
      </c>
      <c r="K90" s="71">
        <f t="shared" si="32"/>
        <v>-0.49860645830631256</v>
      </c>
      <c r="L90" s="71">
        <f t="shared" si="32"/>
        <v>-0.24252858757972717</v>
      </c>
      <c r="M90" s="71">
        <f t="shared" si="32"/>
        <v>-0.23230114579200745</v>
      </c>
      <c r="N90" s="71">
        <f t="shared" si="32"/>
        <v>0.2205938845872879</v>
      </c>
      <c r="O90" s="71">
        <f t="shared" si="32"/>
        <v>0.4572424590587616</v>
      </c>
    </row>
    <row r="91" spans="1:15" s="35" customFormat="1" ht="58.5" customHeight="1">
      <c r="A91" s="109"/>
      <c r="B91" s="92" t="s">
        <v>171</v>
      </c>
      <c r="C91" s="70">
        <f>C9-C12-C30+C24+C25</f>
        <v>-728525</v>
      </c>
      <c r="D91" s="70">
        <f aca="true" t="shared" si="33" ref="D91:O91">D9-D12-D30+D24+D25</f>
        <v>648249</v>
      </c>
      <c r="E91" s="70">
        <f t="shared" si="33"/>
        <v>2325993</v>
      </c>
      <c r="F91" s="85">
        <f t="shared" si="33"/>
        <v>543163</v>
      </c>
      <c r="G91" s="85">
        <f t="shared" si="33"/>
        <v>1357155.8590000123</v>
      </c>
      <c r="H91" s="85">
        <f t="shared" si="33"/>
        <v>3529999.9068670124</v>
      </c>
      <c r="I91" s="85">
        <f t="shared" si="33"/>
        <v>4839557.864513561</v>
      </c>
      <c r="J91" s="85">
        <f t="shared" si="33"/>
        <v>6048676.958400466</v>
      </c>
      <c r="K91" s="85">
        <f t="shared" si="33"/>
        <v>7815751.501393542</v>
      </c>
      <c r="L91" s="85">
        <f t="shared" si="33"/>
        <v>9721473.757471412</v>
      </c>
      <c r="M91" s="85">
        <f t="shared" si="33"/>
        <v>11783303.767698854</v>
      </c>
      <c r="N91" s="85">
        <f t="shared" si="33"/>
        <v>14118760.220593885</v>
      </c>
      <c r="O91" s="85">
        <f t="shared" si="33"/>
        <v>16746127.457242459</v>
      </c>
    </row>
  </sheetData>
  <sheetProtection/>
  <mergeCells count="28">
    <mergeCell ref="A1:O1"/>
    <mergeCell ref="A2:O2"/>
    <mergeCell ref="A3:O3"/>
    <mergeCell ref="A5:A6"/>
    <mergeCell ref="B5:B6"/>
    <mergeCell ref="C5:D5"/>
    <mergeCell ref="E5:E6"/>
    <mergeCell ref="F5:F6"/>
    <mergeCell ref="G5:O5"/>
    <mergeCell ref="A17:A19"/>
    <mergeCell ref="A43:A46"/>
    <mergeCell ref="A52:O52"/>
    <mergeCell ref="A53:A54"/>
    <mergeCell ref="B53:B54"/>
    <mergeCell ref="C53:D53"/>
    <mergeCell ref="E53:E54"/>
    <mergeCell ref="F53:F54"/>
    <mergeCell ref="G53:O53"/>
    <mergeCell ref="A90:A91"/>
    <mergeCell ref="A61:A64"/>
    <mergeCell ref="B69:O69"/>
    <mergeCell ref="A80:O80"/>
    <mergeCell ref="A81:A82"/>
    <mergeCell ref="B81:B82"/>
    <mergeCell ref="C81:D81"/>
    <mergeCell ref="E81:E82"/>
    <mergeCell ref="F81:F82"/>
    <mergeCell ref="G81:O81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User</cp:lastModifiedBy>
  <cp:lastPrinted>2011-02-01T10:51:11Z</cp:lastPrinted>
  <dcterms:created xsi:type="dcterms:W3CDTF">2010-07-28T16:34:46Z</dcterms:created>
  <dcterms:modified xsi:type="dcterms:W3CDTF">2011-02-09T09:18:52Z</dcterms:modified>
  <cp:category/>
  <cp:version/>
  <cp:contentType/>
  <cp:contentStatus/>
</cp:coreProperties>
</file>